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Assumptions" sheetId="2" state="visible" r:id="rId4"/>
    <sheet name="Revenue Model" sheetId="3" state="visible" r:id="rId5"/>
    <sheet name="Expenses" sheetId="4" state="visible" r:id="rId6"/>
    <sheet name="Cash Flow" sheetId="5" state="visible" r:id="rId7"/>
    <sheet name="Unit Economic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<sst xmlns="http://schemas.openxmlformats.org/spreadsheetml/2006/main" count="267" uniqueCount="159">
  <si>
    <t xml:space="preserve">STARTUP FINANCIAL MODEL - DASHBOARD</t>
  </si>
  <si>
    <t xml:space="preserve">Company Name</t>
  </si>
  <si>
    <t xml:space="preserve">Your Startup Name</t>
  </si>
  <si>
    <t xml:space="preserve">Reporting Date</t>
  </si>
  <si>
    <t xml:space="preserve">Company Stage</t>
  </si>
  <si>
    <t xml:space="preserve">Seed</t>
  </si>
  <si>
    <t xml:space="preserve">KEY METRICS SUMMARY</t>
  </si>
  <si>
    <t xml:space="preserve">Metric</t>
  </si>
  <si>
    <t xml:space="preserve">Current Month</t>
  </si>
  <si>
    <t xml:space="preserve">Formula</t>
  </si>
  <si>
    <t xml:space="preserve">Monthly Recurring Revenue (MRR)</t>
  </si>
  <si>
    <t xml:space="preserve">Annual Recurring Revenue (ARR)</t>
  </si>
  <si>
    <t xml:space="preserve">Monthly Burn Rate</t>
  </si>
  <si>
    <t xml:space="preserve">Runway (months)</t>
  </si>
  <si>
    <t xml:space="preserve">Customer Acquisition Cost (CAC)</t>
  </si>
  <si>
    <t xml:space="preserve">Lifetime Value (LTV)</t>
  </si>
  <si>
    <t xml:space="preserve">LTV / CAC Ratio</t>
  </si>
  <si>
    <t xml:space="preserve">Break-Even Month</t>
  </si>
  <si>
    <t xml:space="preserve">MONTHLY CASH POSITION</t>
  </si>
  <si>
    <t xml:space="preserve">Month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</si>
  <si>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</si>
  <si>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</si>
  <si>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</si>
  <si>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</si>
  <si>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</si>
  <si>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</si>
  <si>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</si>
  <si>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</si>
  <si>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</si>
  <si>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</si>
  <si>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</si>
  <si>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</si>
  <si>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Cumulative Cash</t>
  </si>
  <si>
    <t xml:space="preserve">FINANCIAL MODEL ASSUMPTIONS</t>
  </si>
  <si>
    <t xml:space="preserve">INITIAL FUNDING</t>
  </si>
  <si>
    <t xml:space="preserve">Starting Cash</t>
  </si>
  <si>
    <t xml:space="preserve">Initial funding in bank account</t>
  </si>
  <si>
    <t xml:space="preserve">PRICING TIERS</t>
  </si>
  <si>
    <t xml:space="preserve">Tier</t>
  </si>
  <si>
    <t xml:space="preserve">Price (Monthly)</t>
  </si>
  <si>
    <t xml:space="preserve">Customer Split</t>
  </si>
  <si>
    <t xml:space="preserve">Basic</t>
  </si>
  <si>
    <t xml:space="preserve">Pro</t>
  </si>
  <si>
    <t xml:space="preserve">Enterprise</t>
  </si>
  <si>
    <t xml:space="preserve">CUSTOMER GROWTH RATES</t>
  </si>
  <si>
    <t xml:space="preserve">Period</t>
  </si>
  <si>
    <t xml:space="preserve">Monthly Growth Rate</t>
  </si>
  <si>
    <t xml:space="preserve">Notes</t>
  </si>
  <si>
    <t xml:space="preserve">Months 1-12 (Early)</t>
  </si>
  <si>
    <t xml:space="preserve">15% monthly growth</t>
  </si>
  <si>
    <t xml:space="preserve">Months 13-24 (Growth)</t>
  </si>
  <si>
    <t xml:space="preserve">10% monthly growth</t>
  </si>
  <si>
    <t xml:space="preserve">Months 25-36 (Scale)</t>
  </si>
  <si>
    <t xml:space="preserve">8% monthly growth</t>
  </si>
  <si>
    <t xml:space="preserve">CHURN RATE</t>
  </si>
  <si>
    <t xml:space="preserve">Monthly Churn Rate</t>
  </si>
  <si>
    <t xml:space="preserve">5% monthly customer churn</t>
  </si>
  <si>
    <t xml:space="preserve">CUSTOMER ACQUISITION COST (CAC) BY CHANNEL</t>
  </si>
  <si>
    <t xml:space="preserve">Channel</t>
  </si>
  <si>
    <t xml:space="preserve">CAC</t>
  </si>
  <si>
    <t xml:space="preserve">Channel Mix %</t>
  </si>
  <si>
    <t xml:space="preserve">Organic</t>
  </si>
  <si>
    <t xml:space="preserve">Paid Ads</t>
  </si>
  <si>
    <t xml:space="preserve">Referral</t>
  </si>
  <si>
    <t xml:space="preserve">GROSS MARGIN</t>
  </si>
  <si>
    <t xml:space="preserve">Gross Margin %</t>
  </si>
  <si>
    <t xml:space="preserve">Percent of revenue retained</t>
  </si>
  <si>
    <t xml:space="preserve">HEADCOUNT PLAN (STARTING SALARIES)</t>
  </si>
  <si>
    <t xml:space="preserve">Role</t>
  </si>
  <si>
    <t xml:space="preserve">Annual Salary</t>
  </si>
  <si>
    <t xml:space="preserve">Starting Headcount</t>
  </si>
  <si>
    <t xml:space="preserve">Founder/CEO</t>
  </si>
  <si>
    <t xml:space="preserve">Engineers</t>
  </si>
  <si>
    <t xml:space="preserve">Sales</t>
  </si>
  <si>
    <t xml:space="preserve">Operations</t>
  </si>
  <si>
    <t xml:space="preserve">OPERATING COSTS (MONTHLY)</t>
  </si>
  <si>
    <t xml:space="preserve">Expense Category</t>
  </si>
  <si>
    <t xml:space="preserve">Monthly Amount</t>
  </si>
  <si>
    <t xml:space="preserve">Infrastructure/Hosting</t>
  </si>
  <si>
    <t xml:space="preserve">Servers, CDN, databases</t>
  </si>
  <si>
    <t xml:space="preserve">Software/Tools</t>
  </si>
  <si>
    <t xml:space="preserve">SaaS tools, software licenses</t>
  </si>
  <si>
    <t xml:space="preserve">Legal/Accounting</t>
  </si>
  <si>
    <t xml:space="preserve">Incorporation, bookkeeping</t>
  </si>
  <si>
    <t xml:space="preserve">Office/Misc</t>
  </si>
  <si>
    <t xml:space="preserve">Rent, utilities, supplies</t>
  </si>
  <si>
    <t xml:space="preserve">MARKETING BUDGET (MONTHLY)</t>
  </si>
  <si>
    <t xml:space="preserve">Monthly Marketing Budget</t>
  </si>
  <si>
    <t xml:space="preserve">Total paid acquisition spend</t>
  </si>
  <si>
    <t xml:space="preserve">36-MONTH REVENUE PROJECTION</t>
  </si>
  <si>
    <t xml:space="preserve">M13</t>
  </si>
  <si>
    <t xml:space="preserve">M14</t>
  </si>
  <si>
    <t xml:space="preserve">M15</t>
  </si>
  <si>
    <t xml:space="preserve">M16</t>
  </si>
  <si>
    <t xml:space="preserve">M17</t>
  </si>
  <si>
    <t xml:space="preserve">M18</t>
  </si>
  <si>
    <t xml:space="preserve">M19</t>
  </si>
  <si>
    <t xml:space="preserve">M20</t>
  </si>
  <si>
    <t xml:space="preserve">M21</t>
  </si>
  <si>
    <t xml:space="preserve">M22</t>
  </si>
  <si>
    <t xml:space="preserve">M23</t>
  </si>
  <si>
    <t xml:space="preserve">M24</t>
  </si>
  <si>
    <t xml:space="preserve">M25</t>
  </si>
  <si>
    <t xml:space="preserve">M26</t>
  </si>
  <si>
    <t xml:space="preserve">M27</t>
  </si>
  <si>
    <t xml:space="preserve">M28</t>
  </si>
  <si>
    <t xml:space="preserve">M29</t>
  </si>
  <si>
    <t xml:space="preserve">M30</t>
  </si>
  <si>
    <t xml:space="preserve">M31</t>
  </si>
  <si>
    <t xml:space="preserve">M32</t>
  </si>
  <si>
    <t xml:space="preserve">M33</t>
  </si>
  <si>
    <t xml:space="preserve">M34</t>
  </si>
  <si>
    <t xml:space="preserve">M35</t>
  </si>
  <si>
    <t xml:space="preserve">M36</t>
  </si>
  <si>
    <t xml:space="preserve">Starting Customers</t>
  </si>
  <si>
    <t xml:space="preserve">New Customers (Growth)</t>
  </si>
  <si>
    <t xml:space="preserve">Churned Customers</t>
  </si>
  <si>
    <t xml:space="preserve">Total Customers</t>
  </si>
  <si>
    <t xml:space="preserve">Basic Tier Revenue</t>
  </si>
  <si>
    <t xml:space="preserve">Pro Tier Revenue</t>
  </si>
  <si>
    <t xml:space="preserve">Enterprise Tier Revenue</t>
  </si>
  <si>
    <t xml:space="preserve">Total MRR</t>
  </si>
  <si>
    <t xml:space="preserve">ARR (MRR * 12)</t>
  </si>
  <si>
    <t xml:space="preserve">ARPU (Revenue / Customers)</t>
  </si>
  <si>
    <t xml:space="preserve">MoM Growth Rate</t>
  </si>
  <si>
    <t xml:space="preserve">36-MONTH EXPENSE PROJECTION</t>
  </si>
  <si>
    <t xml:space="preserve">PAYROLL</t>
  </si>
  <si>
    <t xml:space="preserve">Total Payroll</t>
  </si>
  <si>
    <t xml:space="preserve">Marketing Budget</t>
  </si>
  <si>
    <t xml:space="preserve">TOTAL OPERATING EXPENSES (OPEX)</t>
  </si>
  <si>
    <t xml:space="preserve">36-MONTH CASH FLOW PROJECTION</t>
  </si>
  <si>
    <t xml:space="preserve">Starting Cash Balance</t>
  </si>
  <si>
    <t xml:space="preserve">Revenue In</t>
  </si>
  <si>
    <t xml:space="preserve">Total Expenses</t>
  </si>
  <si>
    <t xml:space="preserve">Net Cash Flow</t>
  </si>
  <si>
    <t xml:space="preserve">Cumulative Cash Position</t>
  </si>
  <si>
    <t xml:space="preserve">Runway (Months)</t>
  </si>
  <si>
    <t xml:space="preserve">Break-Even?</t>
  </si>
  <si>
    <t xml:space="preserve">UNIT ECONOMICS</t>
  </si>
  <si>
    <t xml:space="preserve">CUSTOMER ACQUISITION COST (CAC)</t>
  </si>
  <si>
    <t xml:space="preserve">Monthly Marketing Spend</t>
  </si>
  <si>
    <t xml:space="preserve">Weighted CAC</t>
  </si>
  <si>
    <t xml:space="preserve">Blended CAC</t>
  </si>
  <si>
    <t xml:space="preserve">LIFETIME VALUE (LTV)</t>
  </si>
  <si>
    <t xml:space="preserve">Value</t>
  </si>
  <si>
    <t xml:space="preserve">Average Monthly ARPU</t>
  </si>
  <si>
    <t xml:space="preserve">ARPU from Revenue sheet</t>
  </si>
  <si>
    <t xml:space="preserve">5% monthly</t>
  </si>
  <si>
    <t xml:space="preserve">Customer Lifetime (Months)</t>
  </si>
  <si>
    <t xml:space="preserve">1/churn</t>
  </si>
  <si>
    <t xml:space="preserve">LTV (ARPU / Churn)</t>
  </si>
  <si>
    <t xml:space="preserve">Monthly ARPU * Lifetime</t>
  </si>
  <si>
    <t xml:space="preserve">LTV / CAC ANALYSIS</t>
  </si>
  <si>
    <t xml:space="preserve">LTV</t>
  </si>
  <si>
    <t xml:space="preserve">Target: &gt; 3.0</t>
  </si>
  <si>
    <t xml:space="preserve">CAC Payback Period (Months)</t>
  </si>
  <si>
    <t xml:space="preserve">Lower is better (target &lt; 12 months)</t>
  </si>
  <si>
    <t xml:space="preserve">Gross Margin per Customer (Monthly)</t>
  </si>
  <si>
    <t xml:space="preserve">ARPU * Gross Margin 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</si>
</sst>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yy"/>
    <numFmt numFmtId="166" formatCode="\$#,##0"/>
    <numFmt numFmtId="167" formatCode="0.0%"/>
    <numFmt numFmtId="168" formatCode="0.0"/>
    <numFmt numFmtId="169" formatCode="#,##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4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A2341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34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8"/>
    <col collapsed="false" customWidth="true" hidden="false" outlineLevel="0" max="13" min="2" style="1" width="12"/>
  </cols>
  <sheetData>
    <row r="1" customFormat="false" ht="19.5" hidden="false" customHeight="true" outlineLevel="0" collapsed="false">
      <c r="A1" s="2" t="s">
        <v>0</v>
      </c>
      <c r="B1" s="2"/>
      <c r="C1" s="2"/>
      <c r="D1" s="2"/>
    </row>
    <row r="3" customFormat="false" ht="15" hidden="false" customHeight="true" outlineLevel="0" collapsed="false">
      <c r="A3" s="1" t="s">
        <v>1</v>
      </c>
      <c r="B3" s="3" t="s">
        <v>2</v>
      </c>
    </row>
    <row r="4" customFormat="false" ht="15" hidden="false" customHeight="true" outlineLevel="0" collapsed="false">
      <c r="A4" s="1" t="s">
        <v>3</v>
      </c>
      <c r="B4" s="4" t="n">
        <v>46093</v>
      </c>
    </row>
    <row r="5" customFormat="false" ht="15" hidden="false" customHeight="true" outlineLevel="0" collapsed="false">
      <c r="A5" s="1" t="s">
        <v>4</v>
      </c>
      <c r="B5" s="3" t="s">
        <v>5</v>
      </c>
    </row>
    <row r="7" customFormat="false" ht="15" hidden="false" customHeight="true" outlineLevel="0" collapsed="false">
      <c r="A7" s="5" t="s">
        <v>6</v>
      </c>
    </row>
    <row r="8" customFormat="false" ht="26.25" hidden="false" customHeight="true" outlineLevel="0" collapsed="false">
      <c r="A8" s="6" t="s">
        <v>7</v>
      </c>
      <c r="B8" s="6" t="s">
        <v>8</v>
      </c>
      <c r="C8" s="6" t="s">
        <v>9</v>
      </c>
    </row>
    <row r="9" customFormat="false" ht="15" hidden="false" customHeight="true" outlineLevel="0" collapsed="false">
      <c r="A9" s="7" t="s">
        <v>10</v>
      </c>
      <c r="B9" s="8" t="n">
        <f aca="false">'Revenue Model'!B36</f>
        <v>0</v>
      </c>
      <c r="C9" s="7" t="n">
        <f aca="false">'Revenue Model'!B36</f>
        <v>0</v>
      </c>
    </row>
    <row r="10" customFormat="false" ht="15" hidden="false" customHeight="true" outlineLevel="0" collapsed="false">
      <c r="A10" s="7" t="s">
        <v>11</v>
      </c>
      <c r="B10" s="8" t="n">
        <f aca="false">'Revenue Model'!C36</f>
        <v>0</v>
      </c>
      <c r="C10" s="7" t="n">
        <f aca="false">'Revenue Model'!C36</f>
        <v>0</v>
      </c>
    </row>
    <row r="11" customFormat="false" ht="15" hidden="false" customHeight="true" outlineLevel="0" collapsed="false">
      <c r="A11" s="7" t="s">
        <v>12</v>
      </c>
      <c r="B11" s="9" t="n">
        <f aca="false">Expenses!B36</f>
        <v>0</v>
      </c>
      <c r="C11" s="7" t="n">
        <f aca="false">Expenses!B36</f>
        <v>0</v>
      </c>
    </row>
    <row r="12" customFormat="false" ht="15" hidden="false" customHeight="true" outlineLevel="0" collapsed="false">
      <c r="A12" s="7" t="s">
        <v>13</v>
      </c>
      <c r="B12" s="10" t="n">
        <f aca="false">'Cash Flow'!D36</f>
        <v>0</v>
      </c>
      <c r="C12" s="7" t="n">
        <f aca="false">'Cash Flow'!D36</f>
        <v>0</v>
      </c>
    </row>
    <row r="13" customFormat="false" ht="15" hidden="false" customHeight="true" outlineLevel="0" collapsed="false">
      <c r="A13" s="7" t="s">
        <v>14</v>
      </c>
      <c r="B13" s="8" t="n">
        <f aca="false">'Unit Economics'!B5</f>
        <v>3000</v>
      </c>
      <c r="C13" s="8" t="n">
        <f aca="false">'Unit Economics'!B5</f>
        <v>3000</v>
      </c>
    </row>
    <row r="14" customFormat="false" ht="15" hidden="false" customHeight="true" outlineLevel="0" collapsed="false">
      <c r="A14" s="7" t="s">
        <v>15</v>
      </c>
      <c r="B14" s="8" t="n">
        <f aca="false">'Unit Economics'!B6</f>
        <v>0</v>
      </c>
      <c r="C14" s="8" t="n">
        <f aca="false">'Unit Economics'!B6</f>
        <v>0</v>
      </c>
    </row>
    <row r="15" customFormat="false" ht="15" hidden="false" customHeight="true" outlineLevel="0" collapsed="false">
      <c r="A15" s="7" t="s">
        <v>16</v>
      </c>
      <c r="B15" s="10" t="n">
        <f aca="false">'Unit Economics'!B7</f>
        <v>0</v>
      </c>
      <c r="C15" s="8" t="n">
        <f aca="false">'Unit Economics'!B7</f>
        <v>0</v>
      </c>
    </row>
    <row r="17" customFormat="false" ht="15" hidden="false" customHeight="true" outlineLevel="0" collapsed="false">
      <c r="A17" s="1" t="s">
        <v>17</v>
      </c>
      <c r="B17" s="11" t="n">
        <f aca="false">IFERROR(MATCH(TRUE(),('Cash Flow'!B2:B37&gt;0),0)+1,"Not reached in 36 months")</f>
        <v>3</v>
      </c>
    </row>
    <row r="19" customFormat="false" ht="15" hidden="false" customHeight="true" outlineLevel="0" collapsed="false">
      <c r="A19" s="5" t="s">
        <v>18</v>
      </c>
    </row>
    <row r="20" customFormat="false" ht="15" hidden="false" customHeight="true" outlineLevel="0" collapsed="false">
      <c r="A20" s="6" t="s">
        <v>19</v>
      </c>
      <c r="B20" s="6" t="s">
        <v>20</v>
      </c>
      <c r="C20" s="6" t="s">
        <v>21</v>
      </c>
      <c r="D20" s="6" t="s">
        <v>22</v>
      </c>
      <c r="E20" s="6" t="s">
        <v>23</v>
      </c>
      <c r="F20" s="6" t="s">
        <v>24</v>
      </c>
      <c r="G20" s="6" t="s">
        <v>25</v>
      </c>
      <c r="H20" s="6" t="s">
        <v>26</v>
      </c>
      <c r="I20" s="6" t="s">
        <v>27</v>
      </c>
      <c r="J20" s="6" t="s">
        <v>28</v>
      </c>
      <c r="K20" s="6" t="s">
        <v>29</v>
      </c>
      <c r="L20" s="6" t="s">
        <v>30</v>
      </c>
      <c r="M20" s="6" t="s">
        <v>31</v>
      </c>
      <c r="N20" s="6"/>
    </row>
    <row r="21" customFormat="false" ht="15" hidden="false" customHeight="true" outlineLevel="0" collapsed="false">
      <c r="A21" s="1" t="s">
        <v>32</v>
      </c>
      <c r="BO21" s="8" t="n">
        <f aca="false">'Cash Flow'!B2</f>
        <v>0</v>
      </c>
      <c r="BP21" s="8" t="str">
        <f aca="false">'Cash Flow'!B3</f>
        <v>M1</v>
      </c>
      <c r="BQ21" s="8" t="n">
        <f aca="false">'Cash Flow'!B4</f>
        <v>0</v>
      </c>
      <c r="BR21" s="8" t="n">
        <f aca="false">'Cash Flow'!B5</f>
        <v>0</v>
      </c>
      <c r="BS21" s="8" t="n">
        <f aca="false">'Cash Flow'!B6</f>
        <v>0</v>
      </c>
      <c r="BT21" s="8" t="n">
        <f aca="false">'Cash Flow'!B7</f>
        <v>0</v>
      </c>
      <c r="BU21" s="8" t="n">
        <f aca="false">'Cash Flow'!B8</f>
        <v>0</v>
      </c>
      <c r="BV21" s="8" t="n">
        <f aca="false">'Cash Flow'!B9</f>
        <v>0</v>
      </c>
      <c r="BW21" s="8" t="n">
        <f aca="false">'Cash Flow'!B10</f>
        <v>0</v>
      </c>
      <c r="BX21" s="8" t="n">
        <f aca="false">'Cash Flow'!B11</f>
        <v>0</v>
      </c>
      <c r="BY21" s="8" t="n">
        <f aca="false">'Cash Flow'!B12</f>
        <v>0</v>
      </c>
      <c r="BZ21" s="8" t="n">
        <f aca="false">'Cash Flow'!B13</f>
        <v>0</v>
      </c>
    </row>
  </sheetData>
  <mergeCells count="1">
    <mergeCell ref="A1:D1"/>
  </mergeCells>
  <printOptions headings="false" gridLines="false" gridLinesSet="true" horizontalCentered="false" verticalCentered="false"/>
  <pageMargins left="0.5" right="0.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20"/>
    <col collapsed="false" customWidth="true" hidden="false" outlineLevel="0" max="3" min="3" style="1" width="25"/>
  </cols>
  <sheetData>
    <row r="1" customFormat="false" ht="17.25" hidden="false" customHeight="true" outlineLevel="0" collapsed="false">
      <c r="A1" s="12" t="s">
        <v>33</v>
      </c>
      <c r="B1" s="12"/>
      <c r="C1" s="12"/>
    </row>
    <row r="3" customFormat="false" ht="15" hidden="false" customHeight="true" outlineLevel="0" collapsed="false">
      <c r="A3" s="6" t="s">
        <v>34</v>
      </c>
      <c r="B3" s="6"/>
      <c r="C3" s="6"/>
    </row>
    <row r="4" customFormat="false" ht="15" hidden="false" customHeight="true" outlineLevel="0" collapsed="false">
      <c r="A4" s="1" t="s">
        <v>35</v>
      </c>
      <c r="B4" s="13" t="n">
        <v>500000</v>
      </c>
      <c r="C4" s="1" t="s">
        <v>36</v>
      </c>
    </row>
    <row r="6" customFormat="false" ht="15" hidden="false" customHeight="true" outlineLevel="0" collapsed="false">
      <c r="A6" s="6" t="s">
        <v>37</v>
      </c>
      <c r="B6" s="6"/>
      <c r="C6" s="6"/>
    </row>
    <row r="7" customFormat="false" ht="15" hidden="false" customHeight="true" outlineLevel="0" collapsed="false">
      <c r="A7" s="1" t="s">
        <v>38</v>
      </c>
      <c r="B7" s="1" t="s">
        <v>39</v>
      </c>
      <c r="C7" s="1" t="s">
        <v>40</v>
      </c>
    </row>
    <row r="8" customFormat="false" ht="15" hidden="false" customHeight="true" outlineLevel="0" collapsed="false">
      <c r="A8" s="7" t="s">
        <v>41</v>
      </c>
      <c r="B8" s="13" t="n">
        <v>29</v>
      </c>
      <c r="C8" s="14" t="n">
        <v>0.5</v>
      </c>
    </row>
    <row r="9" customFormat="false" ht="15" hidden="false" customHeight="true" outlineLevel="0" collapsed="false">
      <c r="A9" s="7" t="s">
        <v>42</v>
      </c>
      <c r="B9" s="13" t="n">
        <v>99</v>
      </c>
      <c r="C9" s="14" t="n">
        <v>0.35</v>
      </c>
    </row>
    <row r="10" customFormat="false" ht="15" hidden="false" customHeight="true" outlineLevel="0" collapsed="false">
      <c r="A10" s="7" t="s">
        <v>43</v>
      </c>
      <c r="B10" s="13" t="n">
        <v>499</v>
      </c>
      <c r="C10" s="14" t="n">
        <v>0.15</v>
      </c>
    </row>
    <row r="12" customFormat="false" ht="15" hidden="false" customHeight="true" outlineLevel="0" collapsed="false">
      <c r="A12" s="6" t="s">
        <v>44</v>
      </c>
      <c r="B12" s="6"/>
      <c r="C12" s="6"/>
    </row>
    <row r="13" customFormat="false" ht="15" hidden="false" customHeight="true" outlineLevel="0" collapsed="false">
      <c r="A13" s="1" t="s">
        <v>45</v>
      </c>
      <c r="B13" s="1" t="s">
        <v>46</v>
      </c>
      <c r="C13" s="1" t="s">
        <v>47</v>
      </c>
    </row>
    <row r="14" customFormat="false" ht="15" hidden="false" customHeight="true" outlineLevel="0" collapsed="false">
      <c r="A14" s="15" t="s">
        <v>48</v>
      </c>
      <c r="B14" s="14" t="n">
        <v>0.15</v>
      </c>
      <c r="C14" s="1" t="s">
        <v>49</v>
      </c>
    </row>
    <row r="15" customFormat="false" ht="15" hidden="false" customHeight="true" outlineLevel="0" collapsed="false">
      <c r="A15" s="15" t="s">
        <v>50</v>
      </c>
      <c r="B15" s="14" t="n">
        <v>0.1</v>
      </c>
      <c r="C15" s="1" t="s">
        <v>51</v>
      </c>
    </row>
    <row r="16" customFormat="false" ht="15" hidden="false" customHeight="true" outlineLevel="0" collapsed="false">
      <c r="A16" s="15" t="s">
        <v>52</v>
      </c>
      <c r="B16" s="14" t="n">
        <v>0.08</v>
      </c>
      <c r="C16" s="1" t="s">
        <v>53</v>
      </c>
    </row>
    <row r="18" customFormat="false" ht="15" hidden="false" customHeight="true" outlineLevel="0" collapsed="false">
      <c r="A18" s="6" t="s">
        <v>54</v>
      </c>
      <c r="B18" s="6"/>
      <c r="C18" s="6"/>
    </row>
    <row r="19" customFormat="false" ht="15" hidden="false" customHeight="true" outlineLevel="0" collapsed="false">
      <c r="A19" s="1" t="s">
        <v>55</v>
      </c>
      <c r="B19" s="14" t="n">
        <v>0.05</v>
      </c>
      <c r="C19" s="1" t="s">
        <v>56</v>
      </c>
    </row>
    <row r="21" customFormat="false" ht="15" hidden="false" customHeight="true" outlineLevel="0" collapsed="false">
      <c r="A21" s="6" t="s">
        <v>57</v>
      </c>
      <c r="B21" s="6"/>
      <c r="C21" s="6"/>
    </row>
    <row r="22" customFormat="false" ht="15" hidden="false" customHeight="true" outlineLevel="0" collapsed="false">
      <c r="A22" s="1" t="s">
        <v>58</v>
      </c>
      <c r="B22" s="1" t="s">
        <v>59</v>
      </c>
      <c r="C22" s="1" t="s">
        <v>60</v>
      </c>
    </row>
    <row r="23" customFormat="false" ht="15" hidden="false" customHeight="true" outlineLevel="0" collapsed="false">
      <c r="A23" s="7" t="s">
        <v>61</v>
      </c>
      <c r="B23" s="13" t="n">
        <v>25</v>
      </c>
      <c r="C23" s="14" t="n">
        <v>0.3</v>
      </c>
    </row>
    <row r="24" customFormat="false" ht="15" hidden="false" customHeight="true" outlineLevel="0" collapsed="false">
      <c r="A24" s="7" t="s">
        <v>62</v>
      </c>
      <c r="B24" s="13" t="n">
        <v>120</v>
      </c>
      <c r="C24" s="14" t="n">
        <v>0.5</v>
      </c>
    </row>
    <row r="25" customFormat="false" ht="15" hidden="false" customHeight="true" outlineLevel="0" collapsed="false">
      <c r="A25" s="7" t="s">
        <v>63</v>
      </c>
      <c r="B25" s="13" t="n">
        <v>40</v>
      </c>
      <c r="C25" s="14" t="n">
        <v>0.2</v>
      </c>
    </row>
    <row r="27" customFormat="false" ht="15" hidden="false" customHeight="true" outlineLevel="0" collapsed="false">
      <c r="A27" s="6" t="s">
        <v>64</v>
      </c>
      <c r="B27" s="6"/>
      <c r="C27" s="6"/>
    </row>
    <row r="28" customFormat="false" ht="15" hidden="false" customHeight="true" outlineLevel="0" collapsed="false">
      <c r="A28" s="1" t="s">
        <v>65</v>
      </c>
      <c r="B28" s="14" t="n">
        <v>0.75</v>
      </c>
      <c r="C28" s="1" t="s">
        <v>66</v>
      </c>
    </row>
    <row r="30" customFormat="false" ht="15" hidden="false" customHeight="true" outlineLevel="0" collapsed="false">
      <c r="A30" s="6" t="s">
        <v>67</v>
      </c>
      <c r="B30" s="6"/>
      <c r="C30" s="6"/>
    </row>
    <row r="31" customFormat="false" ht="15" hidden="false" customHeight="true" outlineLevel="0" collapsed="false">
      <c r="A31" s="1" t="s">
        <v>68</v>
      </c>
      <c r="B31" s="1" t="s">
        <v>69</v>
      </c>
      <c r="C31" s="1" t="s">
        <v>70</v>
      </c>
    </row>
    <row r="32" customFormat="false" ht="15" hidden="false" customHeight="true" outlineLevel="0" collapsed="false">
      <c r="A32" s="7" t="s">
        <v>71</v>
      </c>
      <c r="B32" s="13" t="n">
        <v>120000</v>
      </c>
      <c r="C32" s="16" t="n">
        <v>1</v>
      </c>
    </row>
    <row r="33" customFormat="false" ht="15" hidden="false" customHeight="true" outlineLevel="0" collapsed="false">
      <c r="A33" s="7" t="s">
        <v>72</v>
      </c>
      <c r="B33" s="13" t="n">
        <v>150000</v>
      </c>
      <c r="C33" s="16" t="n">
        <v>1</v>
      </c>
    </row>
    <row r="34" customFormat="false" ht="15" hidden="false" customHeight="true" outlineLevel="0" collapsed="false">
      <c r="A34" s="7" t="s">
        <v>73</v>
      </c>
      <c r="B34" s="13" t="n">
        <v>100000</v>
      </c>
      <c r="C34" s="16" t="n">
        <v>0</v>
      </c>
    </row>
    <row r="35" customFormat="false" ht="15" hidden="false" customHeight="true" outlineLevel="0" collapsed="false">
      <c r="A35" s="7" t="s">
        <v>74</v>
      </c>
      <c r="B35" s="13" t="n">
        <v>80000</v>
      </c>
      <c r="C35" s="16" t="n">
        <v>0</v>
      </c>
    </row>
    <row r="37" customFormat="false" ht="15" hidden="false" customHeight="true" outlineLevel="0" collapsed="false">
      <c r="A37" s="6" t="s">
        <v>75</v>
      </c>
      <c r="B37" s="6"/>
      <c r="C37" s="6"/>
    </row>
    <row r="38" customFormat="false" ht="15" hidden="false" customHeight="true" outlineLevel="0" collapsed="false">
      <c r="A38" s="1" t="s">
        <v>76</v>
      </c>
      <c r="B38" s="1" t="s">
        <v>77</v>
      </c>
      <c r="C38" s="1" t="s">
        <v>47</v>
      </c>
    </row>
    <row r="39" customFormat="false" ht="15" hidden="false" customHeight="true" outlineLevel="0" collapsed="false">
      <c r="A39" s="7" t="s">
        <v>78</v>
      </c>
      <c r="B39" s="13" t="n">
        <v>2000</v>
      </c>
      <c r="C39" s="1" t="s">
        <v>79</v>
      </c>
    </row>
    <row r="40" customFormat="false" ht="15" hidden="false" customHeight="true" outlineLevel="0" collapsed="false">
      <c r="A40" s="7" t="s">
        <v>80</v>
      </c>
      <c r="B40" s="13" t="n">
        <v>1500</v>
      </c>
      <c r="C40" s="1" t="s">
        <v>81</v>
      </c>
    </row>
    <row r="41" customFormat="false" ht="15" hidden="false" customHeight="true" outlineLevel="0" collapsed="false">
      <c r="A41" s="7" t="s">
        <v>82</v>
      </c>
      <c r="B41" s="13" t="n">
        <v>1000</v>
      </c>
      <c r="C41" s="1" t="s">
        <v>83</v>
      </c>
    </row>
    <row r="42" customFormat="false" ht="15" hidden="false" customHeight="true" outlineLevel="0" collapsed="false">
      <c r="A42" s="7" t="s">
        <v>84</v>
      </c>
      <c r="B42" s="13" t="n">
        <v>1500</v>
      </c>
      <c r="C42" s="1" t="s">
        <v>85</v>
      </c>
    </row>
    <row r="44" customFormat="false" ht="13.5" hidden="false" customHeight="true" outlineLevel="0" collapsed="false">
      <c r="A44" s="6" t="s">
        <v>86</v>
      </c>
      <c r="B44" s="6"/>
      <c r="C44" s="6"/>
    </row>
    <row r="45" customFormat="false" ht="15" hidden="false" customHeight="true" outlineLevel="0" collapsed="false">
      <c r="A45" s="1" t="s">
        <v>87</v>
      </c>
      <c r="B45" s="13" t="n">
        <v>15000</v>
      </c>
      <c r="C45" s="1" t="s">
        <v>88</v>
      </c>
    </row>
  </sheetData>
  <mergeCells count="10">
    <mergeCell ref="A1:C1"/>
    <mergeCell ref="A3:C3"/>
    <mergeCell ref="A6:C6"/>
    <mergeCell ref="A12:C12"/>
    <mergeCell ref="A18:C18"/>
    <mergeCell ref="A21:C21"/>
    <mergeCell ref="A27:C27"/>
    <mergeCell ref="A30:C30"/>
    <mergeCell ref="A37:C37"/>
    <mergeCell ref="A44:C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5"/>
    <col collapsed="false" customWidth="true" hidden="false" outlineLevel="0" max="12" min="2" style="1" width="12"/>
  </cols>
  <sheetData>
    <row r="1" customFormat="false" ht="17.25" hidden="false" customHeight="true" outlineLevel="0" collapsed="false">
      <c r="A1" s="12" t="s">
        <v>89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customFormat="false" ht="15" hidden="false" customHeight="true" outlineLevel="0" collapsed="false">
      <c r="A3" s="6" t="s">
        <v>19</v>
      </c>
      <c r="B3" s="17" t="s">
        <v>20</v>
      </c>
      <c r="C3" s="17" t="s">
        <v>21</v>
      </c>
      <c r="D3" s="17" t="s">
        <v>22</v>
      </c>
      <c r="E3" s="17" t="s">
        <v>23</v>
      </c>
      <c r="F3" s="17" t="s">
        <v>24</v>
      </c>
      <c r="G3" s="17" t="s">
        <v>25</v>
      </c>
      <c r="H3" s="17" t="s">
        <v>26</v>
      </c>
      <c r="I3" s="17" t="s">
        <v>27</v>
      </c>
      <c r="J3" s="17" t="s">
        <v>28</v>
      </c>
      <c r="K3" s="17" t="s">
        <v>29</v>
      </c>
      <c r="L3" s="17" t="s">
        <v>30</v>
      </c>
      <c r="M3" s="17" t="s">
        <v>31</v>
      </c>
      <c r="N3" s="18" t="s">
        <v>90</v>
      </c>
      <c r="O3" s="18" t="s">
        <v>91</v>
      </c>
      <c r="P3" s="18" t="s">
        <v>92</v>
      </c>
      <c r="Q3" s="18" t="s">
        <v>93</v>
      </c>
      <c r="R3" s="18" t="s">
        <v>94</v>
      </c>
      <c r="S3" s="18" t="s">
        <v>95</v>
      </c>
      <c r="T3" s="18" t="s">
        <v>96</v>
      </c>
      <c r="U3" s="18" t="s">
        <v>97</v>
      </c>
      <c r="V3" s="18" t="s">
        <v>98</v>
      </c>
      <c r="W3" s="18" t="s">
        <v>99</v>
      </c>
      <c r="X3" s="18" t="s">
        <v>100</v>
      </c>
      <c r="Y3" s="18" t="s">
        <v>101</v>
      </c>
      <c r="Z3" s="18" t="s">
        <v>102</v>
      </c>
      <c r="AA3" s="18" t="s">
        <v>103</v>
      </c>
      <c r="AB3" s="18" t="s">
        <v>104</v>
      </c>
      <c r="AC3" s="18" t="s">
        <v>105</v>
      </c>
      <c r="AD3" s="18" t="s">
        <v>106</v>
      </c>
      <c r="AE3" s="18" t="s">
        <v>107</v>
      </c>
      <c r="AF3" s="18" t="s">
        <v>108</v>
      </c>
      <c r="AG3" s="18" t="s">
        <v>109</v>
      </c>
      <c r="AH3" s="18" t="s">
        <v>110</v>
      </c>
      <c r="AI3" s="18" t="s">
        <v>111</v>
      </c>
      <c r="AJ3" s="18" t="s">
        <v>112</v>
      </c>
      <c r="AK3" s="18" t="s">
        <v>113</v>
      </c>
    </row>
    <row r="4" customFormat="false" ht="15" hidden="false" customHeight="true" outlineLevel="0" collapsed="false">
      <c r="A4" s="1" t="s">
        <v>114</v>
      </c>
      <c r="B4" s="19" t="n">
        <v>10</v>
      </c>
      <c r="C4" s="19" t="n">
        <f aca="false">Assumptions!B4/100</f>
        <v>5000</v>
      </c>
      <c r="D4" s="19" t="n">
        <v>10</v>
      </c>
      <c r="E4" s="19" t="n">
        <v>10</v>
      </c>
      <c r="F4" s="19" t="n">
        <v>10</v>
      </c>
      <c r="G4" s="19" t="n">
        <v>10</v>
      </c>
      <c r="H4" s="19" t="n">
        <v>10</v>
      </c>
      <c r="I4" s="19" t="n">
        <v>10</v>
      </c>
      <c r="J4" s="19" t="n">
        <v>10</v>
      </c>
      <c r="K4" s="19" t="n">
        <v>10</v>
      </c>
      <c r="L4" s="19" t="n">
        <v>10</v>
      </c>
      <c r="M4" s="19" t="n">
        <v>10</v>
      </c>
      <c r="N4" s="19" t="n">
        <v>10</v>
      </c>
      <c r="O4" s="19" t="n">
        <v>10</v>
      </c>
      <c r="P4" s="19" t="n">
        <v>10</v>
      </c>
      <c r="Q4" s="19" t="n">
        <v>10</v>
      </c>
      <c r="R4" s="19" t="n">
        <v>10</v>
      </c>
      <c r="S4" s="19" t="n">
        <v>10</v>
      </c>
      <c r="T4" s="19" t="n">
        <v>10</v>
      </c>
      <c r="U4" s="19" t="n">
        <v>10</v>
      </c>
      <c r="V4" s="19" t="n">
        <v>10</v>
      </c>
      <c r="W4" s="19" t="n">
        <v>10</v>
      </c>
      <c r="X4" s="19" t="n">
        <v>10</v>
      </c>
      <c r="Y4" s="19" t="n">
        <v>10</v>
      </c>
      <c r="Z4" s="19" t="n">
        <v>10</v>
      </c>
      <c r="AA4" s="19" t="n">
        <v>10</v>
      </c>
      <c r="AB4" s="19" t="n">
        <v>10</v>
      </c>
      <c r="AC4" s="19" t="n">
        <v>10</v>
      </c>
      <c r="AD4" s="19" t="n">
        <v>10</v>
      </c>
      <c r="AE4" s="19" t="n">
        <v>10</v>
      </c>
      <c r="AF4" s="19" t="n">
        <v>10</v>
      </c>
      <c r="AG4" s="19" t="n">
        <v>10</v>
      </c>
      <c r="AH4" s="19" t="n">
        <v>10</v>
      </c>
      <c r="AI4" s="19" t="n">
        <v>10</v>
      </c>
      <c r="AJ4" s="19" t="n">
        <v>10</v>
      </c>
      <c r="AK4" s="19" t="n">
        <v>10</v>
      </c>
    </row>
    <row r="5" customFormat="false" ht="15" hidden="false" customHeight="true" outlineLevel="0" collapsed="false">
      <c r="A5" s="1" t="s">
        <v>115</v>
      </c>
      <c r="B5" s="1" t="n">
        <f aca="true">ROUND(IF(COLUMN()=2,0,INDIRECT(ADDRESS(4,COLUMN()-1))*IF(ROW()-4&lt;=12,Assumptions!B14,IF(ROW()-4&lt;=24,Assumptions!B15,Assumptions!B16))),0)</f>
        <v>0</v>
      </c>
      <c r="C5" s="19" t="n">
        <f aca="false">ROUND(B4*IF(1&lt;=12,Assumptions!B14,IF(1&lt;=24,Assumptions!B15,Assumptions!B16)),0)</f>
        <v>2</v>
      </c>
      <c r="D5" s="19" t="n">
        <f aca="false">ROUND(C4*IF(2&lt;=12,Assumptions!B14,IF(2&lt;=24,Assumptions!B15,Assumptions!B16)),0)</f>
        <v>750</v>
      </c>
      <c r="E5" s="19" t="n">
        <f aca="false">ROUND(D4*IF(3&lt;=12,Assumptions!B14,IF(3&lt;=24,Assumptions!B15,Assumptions!B16)),0)</f>
        <v>2</v>
      </c>
      <c r="F5" s="19" t="n">
        <f aca="false">ROUND(E4*IF(4&lt;=12,Assumptions!B14,IF(4&lt;=24,Assumptions!B15,Assumptions!B16)),0)</f>
        <v>2</v>
      </c>
      <c r="G5" s="19" t="n">
        <f aca="false">ROUND(F4*IF(5&lt;=12,Assumptions!B14,IF(5&lt;=24,Assumptions!B15,Assumptions!B16)),0)</f>
        <v>2</v>
      </c>
      <c r="H5" s="19" t="n">
        <f aca="false">ROUND(G4*IF(6&lt;=12,Assumptions!B14,IF(6&lt;=24,Assumptions!B15,Assumptions!B16)),0)</f>
        <v>2</v>
      </c>
      <c r="I5" s="19" t="n">
        <f aca="false">ROUND(H4*IF(7&lt;=12,Assumptions!B14,IF(7&lt;=24,Assumptions!B15,Assumptions!B16)),0)</f>
        <v>2</v>
      </c>
      <c r="J5" s="19" t="n">
        <f aca="false">ROUND(I4*IF(8&lt;=12,Assumptions!B14,IF(8&lt;=24,Assumptions!B15,Assumptions!B16)),0)</f>
        <v>2</v>
      </c>
      <c r="K5" s="19" t="n">
        <f aca="false">ROUND(J4*IF(9&lt;=12,Assumptions!B14,IF(9&lt;=24,Assumptions!B15,Assumptions!B16)),0)</f>
        <v>2</v>
      </c>
      <c r="L5" s="19" t="n">
        <f aca="false">ROUND(K4*IF(10&lt;=12,Assumptions!B14,IF(10&lt;=24,Assumptions!B15,Assumptions!B16)),0)</f>
        <v>2</v>
      </c>
      <c r="M5" s="19" t="n">
        <f aca="false">ROUND(L4*IF(11&lt;=12,Assumptions!B14,IF(11&lt;=24,Assumptions!B15,Assumptions!B16)),0)</f>
        <v>2</v>
      </c>
      <c r="N5" s="19" t="n">
        <f aca="false">ROUND(M4*IF(12&lt;=12,Assumptions!B14,IF(12&lt;=24,Assumptions!B15,Assumptions!B16)),0)</f>
        <v>2</v>
      </c>
      <c r="O5" s="19" t="n">
        <f aca="false">ROUND(N4*IF(13&lt;=12,Assumptions!B14,IF(13&lt;=24,Assumptions!B15,Assumptions!B16)),0)</f>
        <v>1</v>
      </c>
      <c r="P5" s="19" t="n">
        <f aca="false">ROUND(O4*IF(14&lt;=12,Assumptions!B14,IF(14&lt;=24,Assumptions!B15,Assumptions!B16)),0)</f>
        <v>1</v>
      </c>
      <c r="Q5" s="19" t="n">
        <f aca="false">ROUND(P4*IF(15&lt;=12,Assumptions!B14,IF(15&lt;=24,Assumptions!B15,Assumptions!B16)),0)</f>
        <v>1</v>
      </c>
      <c r="R5" s="19" t="n">
        <f aca="false">ROUND(Q4*IF(16&lt;=12,Assumptions!B14,IF(16&lt;=24,Assumptions!B15,Assumptions!B16)),0)</f>
        <v>1</v>
      </c>
      <c r="S5" s="19" t="n">
        <f aca="false">ROUND(R4*IF(17&lt;=12,Assumptions!B14,IF(17&lt;=24,Assumptions!B15,Assumptions!B16)),0)</f>
        <v>1</v>
      </c>
      <c r="T5" s="19" t="n">
        <f aca="false">ROUND(S4*IF(18&lt;=12,Assumptions!B14,IF(18&lt;=24,Assumptions!B15,Assumptions!B16)),0)</f>
        <v>1</v>
      </c>
      <c r="U5" s="19" t="n">
        <f aca="false">ROUND(T4*IF(19&lt;=12,Assumptions!B14,IF(19&lt;=24,Assumptions!B15,Assumptions!B16)),0)</f>
        <v>1</v>
      </c>
      <c r="V5" s="19" t="n">
        <f aca="false">ROUND(U4*IF(20&lt;=12,Assumptions!B14,IF(20&lt;=24,Assumptions!B15,Assumptions!B16)),0)</f>
        <v>1</v>
      </c>
      <c r="W5" s="19" t="n">
        <f aca="false">ROUND(V4*IF(21&lt;=12,Assumptions!B14,IF(21&lt;=24,Assumptions!B15,Assumptions!B16)),0)</f>
        <v>1</v>
      </c>
      <c r="X5" s="19" t="n">
        <f aca="false">ROUND(W4*IF(22&lt;=12,Assumptions!B14,IF(22&lt;=24,Assumptions!B15,Assumptions!B16)),0)</f>
        <v>1</v>
      </c>
      <c r="Y5" s="19" t="n">
        <f aca="false">ROUND(X4*IF(23&lt;=12,Assumptions!B14,IF(23&lt;=24,Assumptions!B15,Assumptions!B16)),0)</f>
        <v>1</v>
      </c>
      <c r="Z5" s="19" t="n">
        <f aca="false">ROUND(Y4*IF(24&lt;=12,Assumptions!B14,IF(24&lt;=24,Assumptions!B15,Assumptions!B16)),0)</f>
        <v>1</v>
      </c>
      <c r="AA5" s="19" t="n">
        <f aca="false">ROUND(Z4*IF(25&lt;=12,Assumptions!B14,IF(25&lt;=24,Assumptions!B15,Assumptions!B16)),0)</f>
        <v>1</v>
      </c>
      <c r="AB5" s="19" t="n">
        <f aca="false">ROUND(AA4*IF(26&lt;=12,Assumptions!B14,IF(26&lt;=24,Assumptions!B15,Assumptions!B16)),0)</f>
        <v>1</v>
      </c>
      <c r="AC5" s="19" t="n">
        <f aca="false">ROUND(AB4*IF(27&lt;=12,Assumptions!B14,IF(27&lt;=24,Assumptions!B15,Assumptions!B16)),0)</f>
        <v>1</v>
      </c>
      <c r="AD5" s="19" t="n">
        <f aca="false">ROUND(AC4*IF(28&lt;=12,Assumptions!B14,IF(28&lt;=24,Assumptions!B15,Assumptions!B16)),0)</f>
        <v>1</v>
      </c>
      <c r="AE5" s="19" t="n">
        <f aca="false">ROUND(AD4*IF(29&lt;=12,Assumptions!B14,IF(29&lt;=24,Assumptions!B15,Assumptions!B16)),0)</f>
        <v>1</v>
      </c>
      <c r="AF5" s="19" t="n">
        <f aca="false">ROUND(AE4*IF(30&lt;=12,Assumptions!B14,IF(30&lt;=24,Assumptions!B15,Assumptions!B16)),0)</f>
        <v>1</v>
      </c>
      <c r="AG5" s="19" t="n">
        <f aca="false">ROUND(AF4*IF(31&lt;=12,Assumptions!B14,IF(31&lt;=24,Assumptions!B15,Assumptions!B16)),0)</f>
        <v>1</v>
      </c>
      <c r="AH5" s="19" t="n">
        <f aca="false">ROUND(AG4*IF(32&lt;=12,Assumptions!B14,IF(32&lt;=24,Assumptions!B15,Assumptions!B16)),0)</f>
        <v>1</v>
      </c>
      <c r="AI5" s="19" t="n">
        <f aca="false">ROUND(AH4*IF(33&lt;=12,Assumptions!B14,IF(33&lt;=24,Assumptions!B15,Assumptions!B16)),0)</f>
        <v>1</v>
      </c>
      <c r="AJ5" s="19" t="n">
        <f aca="false">ROUND(AI4*IF(34&lt;=12,Assumptions!B14,IF(34&lt;=24,Assumptions!B15,Assumptions!B16)),0)</f>
        <v>1</v>
      </c>
      <c r="AK5" s="19" t="n">
        <f aca="false">ROUND(AJ4*IF(35&lt;=12,Assumptions!B14,IF(35&lt;=24,Assumptions!B15,Assumptions!B16)),0)</f>
        <v>1</v>
      </c>
    </row>
    <row r="6" customFormat="false" ht="15" hidden="false" customHeight="true" outlineLevel="0" collapsed="false">
      <c r="A6" s="1" t="s">
        <v>116</v>
      </c>
      <c r="C6" s="19" t="n">
        <f aca="false">ROUND(C4*Assumptions!B19,0)</f>
        <v>250</v>
      </c>
      <c r="D6" s="19" t="n">
        <f aca="false">ROUND(D4*Assumptions!B19,0)</f>
        <v>1</v>
      </c>
      <c r="E6" s="19" t="n">
        <f aca="false">ROUND(E4*Assumptions!B19,0)</f>
        <v>1</v>
      </c>
      <c r="F6" s="19" t="n">
        <f aca="false">ROUND(F4*Assumptions!B19,0)</f>
        <v>1</v>
      </c>
      <c r="G6" s="19" t="n">
        <f aca="false">ROUND(G4*Assumptions!B19,0)</f>
        <v>1</v>
      </c>
      <c r="H6" s="19" t="n">
        <f aca="false">ROUND(H4*Assumptions!B19,0)</f>
        <v>1</v>
      </c>
      <c r="I6" s="19" t="n">
        <f aca="false">ROUND(I4*Assumptions!B19,0)</f>
        <v>1</v>
      </c>
      <c r="J6" s="19" t="n">
        <f aca="false">ROUND(J4*Assumptions!B19,0)</f>
        <v>1</v>
      </c>
      <c r="K6" s="19" t="n">
        <f aca="false">ROUND(K4*Assumptions!B19,0)</f>
        <v>1</v>
      </c>
      <c r="L6" s="19" t="n">
        <f aca="false">ROUND(L4*Assumptions!B19,0)</f>
        <v>1</v>
      </c>
      <c r="M6" s="19" t="n">
        <f aca="false">ROUND(M4*Assumptions!B19,0)</f>
        <v>1</v>
      </c>
      <c r="N6" s="19" t="n">
        <f aca="false">ROUND(N4*Assumptions!B19,0)</f>
        <v>1</v>
      </c>
      <c r="O6" s="19" t="n">
        <f aca="false">ROUND(O4*Assumptions!B19,0)</f>
        <v>1</v>
      </c>
      <c r="P6" s="19" t="n">
        <f aca="false">ROUND(P4*Assumptions!B19,0)</f>
        <v>1</v>
      </c>
      <c r="Q6" s="19" t="n">
        <f aca="false">ROUND(Q4*Assumptions!B19,0)</f>
        <v>1</v>
      </c>
      <c r="R6" s="19" t="n">
        <f aca="false">ROUND(R4*Assumptions!B19,0)</f>
        <v>1</v>
      </c>
      <c r="S6" s="19" t="n">
        <f aca="false">ROUND(S4*Assumptions!B19,0)</f>
        <v>1</v>
      </c>
      <c r="T6" s="19" t="n">
        <f aca="false">ROUND(T4*Assumptions!B19,0)</f>
        <v>1</v>
      </c>
      <c r="U6" s="19" t="n">
        <f aca="false">ROUND(U4*Assumptions!B19,0)</f>
        <v>1</v>
      </c>
      <c r="V6" s="19" t="n">
        <f aca="false">ROUND(V4*Assumptions!B19,0)</f>
        <v>1</v>
      </c>
      <c r="W6" s="19" t="n">
        <f aca="false">ROUND(W4*Assumptions!B19,0)</f>
        <v>1</v>
      </c>
      <c r="X6" s="19" t="n">
        <f aca="false">ROUND(X4*Assumptions!B19,0)</f>
        <v>1</v>
      </c>
      <c r="Y6" s="19" t="n">
        <f aca="false">ROUND(Y4*Assumptions!B19,0)</f>
        <v>1</v>
      </c>
      <c r="Z6" s="19" t="n">
        <f aca="false">ROUND(Z4*Assumptions!B19,0)</f>
        <v>1</v>
      </c>
      <c r="AA6" s="19" t="n">
        <f aca="false">ROUND(AA4*Assumptions!B19,0)</f>
        <v>1</v>
      </c>
      <c r="AB6" s="19" t="n">
        <f aca="false">ROUND(AB4*Assumptions!B19,0)</f>
        <v>1</v>
      </c>
      <c r="AC6" s="19" t="n">
        <f aca="false">ROUND(AC4*Assumptions!B19,0)</f>
        <v>1</v>
      </c>
      <c r="AD6" s="19" t="n">
        <f aca="false">ROUND(AD4*Assumptions!B19,0)</f>
        <v>1</v>
      </c>
      <c r="AE6" s="19" t="n">
        <f aca="false">ROUND(AE4*Assumptions!B19,0)</f>
        <v>1</v>
      </c>
      <c r="AF6" s="19" t="n">
        <f aca="false">ROUND(AF4*Assumptions!B19,0)</f>
        <v>1</v>
      </c>
      <c r="AG6" s="19" t="n">
        <f aca="false">ROUND(AG4*Assumptions!B19,0)</f>
        <v>1</v>
      </c>
      <c r="AH6" s="19" t="n">
        <f aca="false">ROUND(AH4*Assumptions!B19,0)</f>
        <v>1</v>
      </c>
      <c r="AI6" s="19" t="n">
        <f aca="false">ROUND(AI4*Assumptions!B19,0)</f>
        <v>1</v>
      </c>
      <c r="AJ6" s="19" t="n">
        <f aca="false">ROUND(AJ4*Assumptions!B19,0)</f>
        <v>1</v>
      </c>
      <c r="AK6" s="19" t="n">
        <f aca="false">ROUND(AK4*Assumptions!B19,0)</f>
        <v>1</v>
      </c>
    </row>
    <row r="7" customFormat="false" ht="15" hidden="false" customHeight="true" outlineLevel="0" collapsed="false">
      <c r="A7" s="1" t="s">
        <v>117</v>
      </c>
      <c r="C7" s="19" t="n">
        <f aca="false">B4+C5-C6</f>
        <v>-238</v>
      </c>
      <c r="D7" s="19" t="n">
        <f aca="false">C7+D5-D6</f>
        <v>511</v>
      </c>
      <c r="E7" s="19" t="n">
        <f aca="false">D7+E5-E6</f>
        <v>512</v>
      </c>
      <c r="F7" s="19" t="n">
        <f aca="false">E7+F5-F6</f>
        <v>513</v>
      </c>
      <c r="G7" s="19" t="n">
        <f aca="false">F7+G5-G6</f>
        <v>514</v>
      </c>
      <c r="H7" s="19" t="n">
        <f aca="false">G7+H5-H6</f>
        <v>515</v>
      </c>
      <c r="I7" s="19" t="n">
        <f aca="false">H7+I5-I6</f>
        <v>516</v>
      </c>
      <c r="J7" s="19" t="n">
        <f aca="false">I7+J5-J6</f>
        <v>517</v>
      </c>
      <c r="K7" s="19" t="n">
        <f aca="false">J7+K5-K6</f>
        <v>518</v>
      </c>
      <c r="L7" s="19" t="n">
        <f aca="false">K7+L5-L6</f>
        <v>519</v>
      </c>
      <c r="M7" s="19" t="n">
        <f aca="false">L7+M5-M6</f>
        <v>520</v>
      </c>
      <c r="N7" s="19" t="n">
        <f aca="false">M7+N5-N6</f>
        <v>521</v>
      </c>
      <c r="O7" s="19" t="n">
        <f aca="false">N7+O5-O6</f>
        <v>521</v>
      </c>
      <c r="P7" s="19" t="n">
        <f aca="false">O7+P5-P6</f>
        <v>521</v>
      </c>
      <c r="Q7" s="19" t="n">
        <f aca="false">P7+Q5-Q6</f>
        <v>521</v>
      </c>
      <c r="R7" s="19" t="n">
        <f aca="false">Q7+R5-R6</f>
        <v>521</v>
      </c>
      <c r="S7" s="19" t="n">
        <f aca="false">R7+S5-S6</f>
        <v>521</v>
      </c>
      <c r="T7" s="19" t="n">
        <f aca="false">S7+T5-T6</f>
        <v>521</v>
      </c>
      <c r="U7" s="19" t="n">
        <f aca="false">T7+U5-U6</f>
        <v>521</v>
      </c>
      <c r="V7" s="19" t="n">
        <f aca="false">U7+V5-V6</f>
        <v>521</v>
      </c>
      <c r="W7" s="19" t="n">
        <f aca="false">V7+W5-W6</f>
        <v>521</v>
      </c>
      <c r="X7" s="19" t="n">
        <f aca="false">W7+X5-X6</f>
        <v>521</v>
      </c>
      <c r="Y7" s="19" t="n">
        <f aca="false">X7+Y5-Y6</f>
        <v>521</v>
      </c>
      <c r="Z7" s="19" t="n">
        <f aca="false">Y7+Z5-Z6</f>
        <v>521</v>
      </c>
      <c r="AA7" s="19" t="n">
        <f aca="false">Z7+AA5-AA6</f>
        <v>521</v>
      </c>
      <c r="AB7" s="19" t="n">
        <f aca="false">AA7+AB5-AB6</f>
        <v>521</v>
      </c>
      <c r="AC7" s="19" t="n">
        <f aca="false">AB7+AC5-AC6</f>
        <v>521</v>
      </c>
      <c r="AD7" s="19" t="n">
        <f aca="false">AC7+AD5-AD6</f>
        <v>521</v>
      </c>
      <c r="AE7" s="19" t="n">
        <f aca="false">AD7+AE5-AE6</f>
        <v>521</v>
      </c>
      <c r="AF7" s="19" t="n">
        <f aca="false">AE7+AF5-AF6</f>
        <v>521</v>
      </c>
      <c r="AG7" s="19" t="n">
        <f aca="false">AF7+AG5-AG6</f>
        <v>521</v>
      </c>
      <c r="AH7" s="19" t="n">
        <f aca="false">AG7+AH5-AH6</f>
        <v>521</v>
      </c>
      <c r="AI7" s="19" t="n">
        <f aca="false">AH7+AI5-AI6</f>
        <v>521</v>
      </c>
      <c r="AJ7" s="19" t="n">
        <f aca="false">AI7+AJ5-AJ6</f>
        <v>521</v>
      </c>
      <c r="AK7" s="19" t="n">
        <f aca="false">AJ7+AK5-AK6</f>
        <v>521</v>
      </c>
    </row>
    <row r="8" customFormat="false" ht="15" hidden="false" customHeight="true" outlineLevel="0" collapsed="false">
      <c r="A8" s="1" t="s">
        <v>118</v>
      </c>
      <c r="C8" s="8" t="n">
        <f aca="false">ROUND(C7*Assumptions!C8*Assumptions!B8,0)</f>
        <v>-3451</v>
      </c>
      <c r="D8" s="8" t="n">
        <f aca="false">ROUND(D7*Assumptions!C8*Assumptions!B8,0)</f>
        <v>7410</v>
      </c>
      <c r="E8" s="8" t="n">
        <f aca="false">ROUND(E7*Assumptions!C8*Assumptions!B8,0)</f>
        <v>7424</v>
      </c>
      <c r="F8" s="8" t="n">
        <f aca="false">ROUND(F7*Assumptions!C8*Assumptions!B8,0)</f>
        <v>7439</v>
      </c>
      <c r="G8" s="8" t="n">
        <f aca="false">ROUND(G7*Assumptions!C8*Assumptions!B8,0)</f>
        <v>7453</v>
      </c>
      <c r="H8" s="8" t="n">
        <f aca="false">ROUND(H7*Assumptions!C8*Assumptions!B8,0)</f>
        <v>7468</v>
      </c>
      <c r="I8" s="8" t="n">
        <f aca="false">ROUND(I7*Assumptions!C8*Assumptions!B8,0)</f>
        <v>7482</v>
      </c>
      <c r="J8" s="8" t="n">
        <f aca="false">ROUND(J7*Assumptions!C8*Assumptions!B8,0)</f>
        <v>7497</v>
      </c>
      <c r="K8" s="8" t="n">
        <f aca="false">ROUND(K7*Assumptions!C8*Assumptions!B8,0)</f>
        <v>7511</v>
      </c>
      <c r="L8" s="8" t="n">
        <f aca="false">ROUND(L7*Assumptions!C8*Assumptions!B8,0)</f>
        <v>7526</v>
      </c>
      <c r="M8" s="8" t="n">
        <f aca="false">ROUND(M7*Assumptions!C8*Assumptions!B8,0)</f>
        <v>7540</v>
      </c>
      <c r="N8" s="8" t="n">
        <f aca="false">ROUND(N7*Assumptions!C8*Assumptions!B8,0)</f>
        <v>7555</v>
      </c>
      <c r="O8" s="8" t="n">
        <f aca="false">ROUND(O7*Assumptions!C8*Assumptions!B8,0)</f>
        <v>7555</v>
      </c>
      <c r="P8" s="8" t="n">
        <f aca="false">ROUND(P7*Assumptions!C8*Assumptions!B8,0)</f>
        <v>7555</v>
      </c>
      <c r="Q8" s="8" t="n">
        <f aca="false">ROUND(Q7*Assumptions!C8*Assumptions!B8,0)</f>
        <v>7555</v>
      </c>
      <c r="R8" s="8" t="n">
        <f aca="false">ROUND(R7*Assumptions!C8*Assumptions!B8,0)</f>
        <v>7555</v>
      </c>
      <c r="S8" s="8" t="n">
        <f aca="false">ROUND(S7*Assumptions!C8*Assumptions!B8,0)</f>
        <v>7555</v>
      </c>
      <c r="T8" s="8" t="n">
        <f aca="false">ROUND(T7*Assumptions!C8*Assumptions!B8,0)</f>
        <v>7555</v>
      </c>
      <c r="U8" s="8" t="n">
        <f aca="false">ROUND(U7*Assumptions!C8*Assumptions!B8,0)</f>
        <v>7555</v>
      </c>
      <c r="V8" s="8" t="n">
        <f aca="false">ROUND(V7*Assumptions!C8*Assumptions!B8,0)</f>
        <v>7555</v>
      </c>
      <c r="W8" s="8" t="n">
        <f aca="false">ROUND(W7*Assumptions!C8*Assumptions!B8,0)</f>
        <v>7555</v>
      </c>
      <c r="X8" s="8" t="n">
        <f aca="false">ROUND(X7*Assumptions!C8*Assumptions!B8,0)</f>
        <v>7555</v>
      </c>
      <c r="Y8" s="8" t="n">
        <f aca="false">ROUND(Y7*Assumptions!C8*Assumptions!B8,0)</f>
        <v>7555</v>
      </c>
      <c r="Z8" s="8" t="n">
        <f aca="false">ROUND(Z7*Assumptions!C8*Assumptions!B8,0)</f>
        <v>7555</v>
      </c>
      <c r="AA8" s="8" t="n">
        <f aca="false">ROUND(AA7*Assumptions!C8*Assumptions!B8,0)</f>
        <v>7555</v>
      </c>
      <c r="AB8" s="8" t="n">
        <f aca="false">ROUND(AB7*Assumptions!C8*Assumptions!B8,0)</f>
        <v>7555</v>
      </c>
      <c r="AC8" s="8" t="n">
        <f aca="false">ROUND(AC7*Assumptions!C8*Assumptions!B8,0)</f>
        <v>7555</v>
      </c>
      <c r="AD8" s="8" t="n">
        <f aca="false">ROUND(AD7*Assumptions!C8*Assumptions!B8,0)</f>
        <v>7555</v>
      </c>
      <c r="AE8" s="8" t="n">
        <f aca="false">ROUND(AE7*Assumptions!C8*Assumptions!B8,0)</f>
        <v>7555</v>
      </c>
      <c r="AF8" s="8" t="n">
        <f aca="false">ROUND(AF7*Assumptions!C8*Assumptions!B8,0)</f>
        <v>7555</v>
      </c>
      <c r="AG8" s="8" t="n">
        <f aca="false">ROUND(AG7*Assumptions!C8*Assumptions!B8,0)</f>
        <v>7555</v>
      </c>
      <c r="AH8" s="8" t="n">
        <f aca="false">ROUND(AH7*Assumptions!C8*Assumptions!B8,0)</f>
        <v>7555</v>
      </c>
      <c r="AI8" s="8" t="n">
        <f aca="false">ROUND(AI7*Assumptions!C8*Assumptions!B8,0)</f>
        <v>7555</v>
      </c>
      <c r="AJ8" s="8" t="n">
        <f aca="false">ROUND(AJ7*Assumptions!C8*Assumptions!B8,0)</f>
        <v>7555</v>
      </c>
      <c r="AK8" s="8" t="n">
        <f aca="false">ROUND(AK7*Assumptions!C8*Assumptions!B8,0)</f>
        <v>7555</v>
      </c>
    </row>
    <row r="9" customFormat="false" ht="15" hidden="false" customHeight="true" outlineLevel="0" collapsed="false">
      <c r="A9" s="1" t="s">
        <v>119</v>
      </c>
      <c r="C9" s="8" t="n">
        <f aca="false">ROUND(C7*Assumptions!C9*Assumptions!B9,0)</f>
        <v>-8247</v>
      </c>
      <c r="D9" s="8" t="n">
        <f aca="false">ROUND(D7*Assumptions!C9*Assumptions!B9,0)</f>
        <v>17706</v>
      </c>
      <c r="E9" s="8" t="n">
        <f aca="false">ROUND(E7*Assumptions!C9*Assumptions!B9,0)</f>
        <v>17741</v>
      </c>
      <c r="F9" s="8" t="n">
        <f aca="false">ROUND(F7*Assumptions!C9*Assumptions!B9,0)</f>
        <v>17775</v>
      </c>
      <c r="G9" s="8" t="n">
        <f aca="false">ROUND(G7*Assumptions!C9*Assumptions!B9,0)</f>
        <v>17810</v>
      </c>
      <c r="H9" s="8" t="n">
        <f aca="false">ROUND(H7*Assumptions!C9*Assumptions!B9,0)</f>
        <v>17845</v>
      </c>
      <c r="I9" s="8" t="n">
        <f aca="false">ROUND(I7*Assumptions!C9*Assumptions!B9,0)</f>
        <v>17879</v>
      </c>
      <c r="J9" s="8" t="n">
        <f aca="false">ROUND(J7*Assumptions!C9*Assumptions!B9,0)</f>
        <v>17914</v>
      </c>
      <c r="K9" s="8" t="n">
        <f aca="false">ROUND(K7*Assumptions!C9*Assumptions!B9,0)</f>
        <v>17949</v>
      </c>
      <c r="L9" s="8" t="n">
        <f aca="false">ROUND(L7*Assumptions!C9*Assumptions!B9,0)</f>
        <v>17983</v>
      </c>
      <c r="M9" s="8" t="n">
        <f aca="false">ROUND(M7*Assumptions!C9*Assumptions!B9,0)</f>
        <v>18018</v>
      </c>
      <c r="N9" s="8" t="n">
        <f aca="false">ROUND(N7*Assumptions!C9*Assumptions!B9,0)</f>
        <v>18053</v>
      </c>
      <c r="O9" s="8" t="n">
        <f aca="false">ROUND(O7*Assumptions!C9*Assumptions!B9,0)</f>
        <v>18053</v>
      </c>
      <c r="P9" s="8" t="n">
        <f aca="false">ROUND(P7*Assumptions!C9*Assumptions!B9,0)</f>
        <v>18053</v>
      </c>
      <c r="Q9" s="8" t="n">
        <f aca="false">ROUND(Q7*Assumptions!C9*Assumptions!B9,0)</f>
        <v>18053</v>
      </c>
      <c r="R9" s="8" t="n">
        <f aca="false">ROUND(R7*Assumptions!C9*Assumptions!B9,0)</f>
        <v>18053</v>
      </c>
      <c r="S9" s="8" t="n">
        <f aca="false">ROUND(S7*Assumptions!C9*Assumptions!B9,0)</f>
        <v>18053</v>
      </c>
      <c r="T9" s="8" t="n">
        <f aca="false">ROUND(T7*Assumptions!C9*Assumptions!B9,0)</f>
        <v>18053</v>
      </c>
      <c r="U9" s="8" t="n">
        <f aca="false">ROUND(U7*Assumptions!C9*Assumptions!B9,0)</f>
        <v>18053</v>
      </c>
      <c r="V9" s="8" t="n">
        <f aca="false">ROUND(V7*Assumptions!C9*Assumptions!B9,0)</f>
        <v>18053</v>
      </c>
      <c r="W9" s="8" t="n">
        <f aca="false">ROUND(W7*Assumptions!C9*Assumptions!B9,0)</f>
        <v>18053</v>
      </c>
      <c r="X9" s="8" t="n">
        <f aca="false">ROUND(X7*Assumptions!C9*Assumptions!B9,0)</f>
        <v>18053</v>
      </c>
      <c r="Y9" s="8" t="n">
        <f aca="false">ROUND(Y7*Assumptions!C9*Assumptions!B9,0)</f>
        <v>18053</v>
      </c>
      <c r="Z9" s="8" t="n">
        <f aca="false">ROUND(Z7*Assumptions!C9*Assumptions!B9,0)</f>
        <v>18053</v>
      </c>
      <c r="AA9" s="8" t="n">
        <f aca="false">ROUND(AA7*Assumptions!C9*Assumptions!B9,0)</f>
        <v>18053</v>
      </c>
      <c r="AB9" s="8" t="n">
        <f aca="false">ROUND(AB7*Assumptions!C9*Assumptions!B9,0)</f>
        <v>18053</v>
      </c>
      <c r="AC9" s="8" t="n">
        <f aca="false">ROUND(AC7*Assumptions!C9*Assumptions!B9,0)</f>
        <v>18053</v>
      </c>
      <c r="AD9" s="8" t="n">
        <f aca="false">ROUND(AD7*Assumptions!C9*Assumptions!B9,0)</f>
        <v>18053</v>
      </c>
      <c r="AE9" s="8" t="n">
        <f aca="false">ROUND(AE7*Assumptions!C9*Assumptions!B9,0)</f>
        <v>18053</v>
      </c>
      <c r="AF9" s="8" t="n">
        <f aca="false">ROUND(AF7*Assumptions!C9*Assumptions!B9,0)</f>
        <v>18053</v>
      </c>
      <c r="AG9" s="8" t="n">
        <f aca="false">ROUND(AG7*Assumptions!C9*Assumptions!B9,0)</f>
        <v>18053</v>
      </c>
      <c r="AH9" s="8" t="n">
        <f aca="false">ROUND(AH7*Assumptions!C9*Assumptions!B9,0)</f>
        <v>18053</v>
      </c>
      <c r="AI9" s="8" t="n">
        <f aca="false">ROUND(AI7*Assumptions!C9*Assumptions!B9,0)</f>
        <v>18053</v>
      </c>
      <c r="AJ9" s="8" t="n">
        <f aca="false">ROUND(AJ7*Assumptions!C9*Assumptions!B9,0)</f>
        <v>18053</v>
      </c>
      <c r="AK9" s="8" t="n">
        <f aca="false">ROUND(AK7*Assumptions!C9*Assumptions!B9,0)</f>
        <v>18053</v>
      </c>
    </row>
    <row r="10" customFormat="false" ht="15" hidden="false" customHeight="true" outlineLevel="0" collapsed="false">
      <c r="A10" s="1" t="s">
        <v>120</v>
      </c>
      <c r="C10" s="8" t="n">
        <f aca="false">ROUND(C7*Assumptions!C10*Assumptions!B10,0)</f>
        <v>-17814</v>
      </c>
      <c r="D10" s="8" t="n">
        <f aca="false">ROUND(D7*Assumptions!C10*Assumptions!B10,0)</f>
        <v>38248</v>
      </c>
      <c r="E10" s="8" t="n">
        <f aca="false">ROUND(E7*Assumptions!C10*Assumptions!B10,0)</f>
        <v>38323</v>
      </c>
      <c r="F10" s="8" t="n">
        <f aca="false">ROUND(F7*Assumptions!C10*Assumptions!B10,0)</f>
        <v>38398</v>
      </c>
      <c r="G10" s="8" t="n">
        <f aca="false">ROUND(G7*Assumptions!C10*Assumptions!B10,0)</f>
        <v>38473</v>
      </c>
      <c r="H10" s="8" t="n">
        <f aca="false">ROUND(H7*Assumptions!C10*Assumptions!B10,0)</f>
        <v>38548</v>
      </c>
      <c r="I10" s="8" t="n">
        <f aca="false">ROUND(I7*Assumptions!C10*Assumptions!B10,0)</f>
        <v>38623</v>
      </c>
      <c r="J10" s="8" t="n">
        <f aca="false">ROUND(J7*Assumptions!C10*Assumptions!B10,0)</f>
        <v>38697</v>
      </c>
      <c r="K10" s="8" t="n">
        <f aca="false">ROUND(K7*Assumptions!C10*Assumptions!B10,0)</f>
        <v>38772</v>
      </c>
      <c r="L10" s="8" t="n">
        <f aca="false">ROUND(L7*Assumptions!C10*Assumptions!B10,0)</f>
        <v>38847</v>
      </c>
      <c r="M10" s="8" t="n">
        <f aca="false">ROUND(M7*Assumptions!C10*Assumptions!B10,0)</f>
        <v>38922</v>
      </c>
      <c r="N10" s="8" t="n">
        <f aca="false">ROUND(N7*Assumptions!C10*Assumptions!B10,0)</f>
        <v>38997</v>
      </c>
      <c r="O10" s="8" t="n">
        <f aca="false">ROUND(O7*Assumptions!C10*Assumptions!B10,0)</f>
        <v>38997</v>
      </c>
      <c r="P10" s="8" t="n">
        <f aca="false">ROUND(P7*Assumptions!C10*Assumptions!B10,0)</f>
        <v>38997</v>
      </c>
      <c r="Q10" s="8" t="n">
        <f aca="false">ROUND(Q7*Assumptions!C10*Assumptions!B10,0)</f>
        <v>38997</v>
      </c>
      <c r="R10" s="8" t="n">
        <f aca="false">ROUND(R7*Assumptions!C10*Assumptions!B10,0)</f>
        <v>38997</v>
      </c>
      <c r="S10" s="8" t="n">
        <f aca="false">ROUND(S7*Assumptions!C10*Assumptions!B10,0)</f>
        <v>38997</v>
      </c>
      <c r="T10" s="8" t="n">
        <f aca="false">ROUND(T7*Assumptions!C10*Assumptions!B10,0)</f>
        <v>38997</v>
      </c>
      <c r="U10" s="8" t="n">
        <f aca="false">ROUND(U7*Assumptions!C10*Assumptions!B10,0)</f>
        <v>38997</v>
      </c>
      <c r="V10" s="8" t="n">
        <f aca="false">ROUND(V7*Assumptions!C10*Assumptions!B10,0)</f>
        <v>38997</v>
      </c>
      <c r="W10" s="8" t="n">
        <f aca="false">ROUND(W7*Assumptions!C10*Assumptions!B10,0)</f>
        <v>38997</v>
      </c>
      <c r="X10" s="8" t="n">
        <f aca="false">ROUND(X7*Assumptions!C10*Assumptions!B10,0)</f>
        <v>38997</v>
      </c>
      <c r="Y10" s="8" t="n">
        <f aca="false">ROUND(Y7*Assumptions!C10*Assumptions!B10,0)</f>
        <v>38997</v>
      </c>
      <c r="Z10" s="8" t="n">
        <f aca="false">ROUND(Z7*Assumptions!C10*Assumptions!B10,0)</f>
        <v>38997</v>
      </c>
      <c r="AA10" s="8" t="n">
        <f aca="false">ROUND(AA7*Assumptions!C10*Assumptions!B10,0)</f>
        <v>38997</v>
      </c>
      <c r="AB10" s="8" t="n">
        <f aca="false">ROUND(AB7*Assumptions!C10*Assumptions!B10,0)</f>
        <v>38997</v>
      </c>
      <c r="AC10" s="8" t="n">
        <f aca="false">ROUND(AC7*Assumptions!C10*Assumptions!B10,0)</f>
        <v>38997</v>
      </c>
      <c r="AD10" s="8" t="n">
        <f aca="false">ROUND(AD7*Assumptions!C10*Assumptions!B10,0)</f>
        <v>38997</v>
      </c>
      <c r="AE10" s="8" t="n">
        <f aca="false">ROUND(AE7*Assumptions!C10*Assumptions!B10,0)</f>
        <v>38997</v>
      </c>
      <c r="AF10" s="8" t="n">
        <f aca="false">ROUND(AF7*Assumptions!C10*Assumptions!B10,0)</f>
        <v>38997</v>
      </c>
      <c r="AG10" s="8" t="n">
        <f aca="false">ROUND(AG7*Assumptions!C10*Assumptions!B10,0)</f>
        <v>38997</v>
      </c>
      <c r="AH10" s="8" t="n">
        <f aca="false">ROUND(AH7*Assumptions!C10*Assumptions!B10,0)</f>
        <v>38997</v>
      </c>
      <c r="AI10" s="8" t="n">
        <f aca="false">ROUND(AI7*Assumptions!C10*Assumptions!B10,0)</f>
        <v>38997</v>
      </c>
      <c r="AJ10" s="8" t="n">
        <f aca="false">ROUND(AJ7*Assumptions!C10*Assumptions!B10,0)</f>
        <v>38997</v>
      </c>
      <c r="AK10" s="8" t="n">
        <f aca="false">ROUND(AK7*Assumptions!C10*Assumptions!B10,0)</f>
        <v>38997</v>
      </c>
    </row>
    <row r="11" customFormat="false" ht="15" hidden="false" customHeight="true" outlineLevel="0" collapsed="false">
      <c r="A11" s="1" t="s">
        <v>121</v>
      </c>
      <c r="C11" s="8" t="n">
        <f aca="false">C8+C9+C10</f>
        <v>-29512</v>
      </c>
      <c r="D11" s="8" t="n">
        <f aca="false">D8+D9+D10</f>
        <v>63364</v>
      </c>
      <c r="E11" s="8" t="n">
        <f aca="false">E8+E9+E10</f>
        <v>63488</v>
      </c>
      <c r="F11" s="8" t="n">
        <f aca="false">F8+F9+F10</f>
        <v>63612</v>
      </c>
      <c r="G11" s="8" t="n">
        <f aca="false">G8+G9+G10</f>
        <v>63736</v>
      </c>
      <c r="H11" s="8" t="n">
        <f aca="false">H8+H9+H10</f>
        <v>63861</v>
      </c>
      <c r="I11" s="8" t="n">
        <f aca="false">I8+I9+I10</f>
        <v>63984</v>
      </c>
      <c r="J11" s="8" t="n">
        <f aca="false">J8+J9+J10</f>
        <v>64108</v>
      </c>
      <c r="K11" s="8" t="n">
        <f aca="false">K8+K9+K10</f>
        <v>64232</v>
      </c>
      <c r="L11" s="8" t="n">
        <f aca="false">L8+L9+L10</f>
        <v>64356</v>
      </c>
      <c r="M11" s="8" t="n">
        <f aca="false">M8+M9+M10</f>
        <v>64480</v>
      </c>
      <c r="N11" s="8" t="n">
        <f aca="false">N8+N9+N10</f>
        <v>64605</v>
      </c>
      <c r="O11" s="8" t="n">
        <f aca="false">O8+O9+O10</f>
        <v>64605</v>
      </c>
      <c r="P11" s="8" t="n">
        <f aca="false">P8+P9+P10</f>
        <v>64605</v>
      </c>
      <c r="Q11" s="8" t="n">
        <f aca="false">Q8+Q9+Q10</f>
        <v>64605</v>
      </c>
      <c r="R11" s="8" t="n">
        <f aca="false">R8+R9+R10</f>
        <v>64605</v>
      </c>
      <c r="S11" s="8" t="n">
        <f aca="false">S8+S9+S10</f>
        <v>64605</v>
      </c>
      <c r="T11" s="8" t="n">
        <f aca="false">T8+T9+T10</f>
        <v>64605</v>
      </c>
      <c r="U11" s="8" t="n">
        <f aca="false">U8+U9+U10</f>
        <v>64605</v>
      </c>
      <c r="V11" s="8" t="n">
        <f aca="false">V8+V9+V10</f>
        <v>64605</v>
      </c>
      <c r="W11" s="8" t="n">
        <f aca="false">W8+W9+W10</f>
        <v>64605</v>
      </c>
      <c r="X11" s="8" t="n">
        <f aca="false">X8+X9+X10</f>
        <v>64605</v>
      </c>
      <c r="Y11" s="8" t="n">
        <f aca="false">Y8+Y9+Y10</f>
        <v>64605</v>
      </c>
      <c r="Z11" s="8" t="n">
        <f aca="false">Z8+Z9+Z10</f>
        <v>64605</v>
      </c>
      <c r="AA11" s="8" t="n">
        <f aca="false">AA8+AA9+AA10</f>
        <v>64605</v>
      </c>
      <c r="AB11" s="8" t="n">
        <f aca="false">AB8+AB9+AB10</f>
        <v>64605</v>
      </c>
      <c r="AC11" s="8" t="n">
        <f aca="false">AC8+AC9+AC10</f>
        <v>64605</v>
      </c>
      <c r="AD11" s="8" t="n">
        <f aca="false">AD8+AD9+AD10</f>
        <v>64605</v>
      </c>
      <c r="AE11" s="8" t="n">
        <f aca="false">AE8+AE9+AE10</f>
        <v>64605</v>
      </c>
      <c r="AF11" s="8" t="n">
        <f aca="false">AF8+AF9+AF10</f>
        <v>64605</v>
      </c>
      <c r="AG11" s="8" t="n">
        <f aca="false">AG8+AG9+AG10</f>
        <v>64605</v>
      </c>
      <c r="AH11" s="8" t="n">
        <f aca="false">AH8+AH9+AH10</f>
        <v>64605</v>
      </c>
      <c r="AI11" s="8" t="n">
        <f aca="false">AI8+AI9+AI10</f>
        <v>64605</v>
      </c>
      <c r="AJ11" s="8" t="n">
        <f aca="false">AJ8+AJ9+AJ10</f>
        <v>64605</v>
      </c>
      <c r="AK11" s="8" t="n">
        <f aca="false">AK8+AK9+AK10</f>
        <v>64605</v>
      </c>
    </row>
    <row r="12" customFormat="false" ht="15" hidden="false" customHeight="true" outlineLevel="0" collapsed="false">
      <c r="A12" s="1" t="s">
        <v>122</v>
      </c>
      <c r="C12" s="8" t="n">
        <f aca="false">C11*12</f>
        <v>-354144</v>
      </c>
      <c r="D12" s="8" t="n">
        <f aca="false">D11*12</f>
        <v>760368</v>
      </c>
      <c r="E12" s="8" t="n">
        <f aca="false">E11*12</f>
        <v>761856</v>
      </c>
      <c r="F12" s="8" t="n">
        <f aca="false">F11*12</f>
        <v>763344</v>
      </c>
      <c r="G12" s="8" t="n">
        <f aca="false">G11*12</f>
        <v>764832</v>
      </c>
      <c r="H12" s="8" t="n">
        <f aca="false">H11*12</f>
        <v>766332</v>
      </c>
      <c r="I12" s="8" t="n">
        <f aca="false">I11*12</f>
        <v>767808</v>
      </c>
      <c r="J12" s="8" t="n">
        <f aca="false">J11*12</f>
        <v>769296</v>
      </c>
      <c r="K12" s="8" t="n">
        <f aca="false">K11*12</f>
        <v>770784</v>
      </c>
      <c r="L12" s="8" t="n">
        <f aca="false">L11*12</f>
        <v>772272</v>
      </c>
      <c r="M12" s="8" t="n">
        <f aca="false">M11*12</f>
        <v>773760</v>
      </c>
      <c r="N12" s="8" t="n">
        <f aca="false">N11*12</f>
        <v>775260</v>
      </c>
      <c r="O12" s="8" t="n">
        <f aca="false">O11*12</f>
        <v>775260</v>
      </c>
      <c r="P12" s="8" t="n">
        <f aca="false">P11*12</f>
        <v>775260</v>
      </c>
      <c r="Q12" s="8" t="n">
        <f aca="false">Q11*12</f>
        <v>775260</v>
      </c>
      <c r="R12" s="8" t="n">
        <f aca="false">R11*12</f>
        <v>775260</v>
      </c>
      <c r="S12" s="8" t="n">
        <f aca="false">S11*12</f>
        <v>775260</v>
      </c>
      <c r="T12" s="8" t="n">
        <f aca="false">T11*12</f>
        <v>775260</v>
      </c>
      <c r="U12" s="8" t="n">
        <f aca="false">U11*12</f>
        <v>775260</v>
      </c>
      <c r="V12" s="8" t="n">
        <f aca="false">V11*12</f>
        <v>775260</v>
      </c>
      <c r="W12" s="8" t="n">
        <f aca="false">W11*12</f>
        <v>775260</v>
      </c>
      <c r="X12" s="8" t="n">
        <f aca="false">X11*12</f>
        <v>775260</v>
      </c>
      <c r="Y12" s="8" t="n">
        <f aca="false">Y11*12</f>
        <v>775260</v>
      </c>
      <c r="Z12" s="8" t="n">
        <f aca="false">Z11*12</f>
        <v>775260</v>
      </c>
      <c r="AA12" s="8" t="n">
        <f aca="false">AA11*12</f>
        <v>775260</v>
      </c>
      <c r="AB12" s="8" t="n">
        <f aca="false">AB11*12</f>
        <v>775260</v>
      </c>
      <c r="AC12" s="8" t="n">
        <f aca="false">AC11*12</f>
        <v>775260</v>
      </c>
      <c r="AD12" s="8" t="n">
        <f aca="false">AD11*12</f>
        <v>775260</v>
      </c>
      <c r="AE12" s="8" t="n">
        <f aca="false">AE11*12</f>
        <v>775260</v>
      </c>
      <c r="AF12" s="8" t="n">
        <f aca="false">AF11*12</f>
        <v>775260</v>
      </c>
      <c r="AG12" s="8" t="n">
        <f aca="false">AG11*12</f>
        <v>775260</v>
      </c>
      <c r="AH12" s="8" t="n">
        <f aca="false">AH11*12</f>
        <v>775260</v>
      </c>
      <c r="AI12" s="8" t="n">
        <f aca="false">AI11*12</f>
        <v>775260</v>
      </c>
      <c r="AJ12" s="8" t="n">
        <f aca="false">AJ11*12</f>
        <v>775260</v>
      </c>
      <c r="AK12" s="8" t="n">
        <f aca="false">AK11*12</f>
        <v>775260</v>
      </c>
    </row>
    <row r="13" customFormat="false" ht="15" hidden="false" customHeight="true" outlineLevel="0" collapsed="false">
      <c r="A13" s="1" t="s">
        <v>123</v>
      </c>
      <c r="C13" s="8" t="n">
        <f aca="false">IFERROR(C11/C7,0)</f>
        <v>124</v>
      </c>
      <c r="D13" s="8" t="n">
        <f aca="false">IFERROR(D11/D7,0)</f>
        <v>124</v>
      </c>
      <c r="E13" s="8" t="n">
        <f aca="false">IFERROR(E11/E7,0)</f>
        <v>124</v>
      </c>
      <c r="F13" s="8" t="n">
        <f aca="false">IFERROR(F11/F7,0)</f>
        <v>124</v>
      </c>
      <c r="G13" s="8" t="n">
        <f aca="false">IFERROR(G11/G7,0)</f>
        <v>124</v>
      </c>
      <c r="H13" s="8" t="n">
        <f aca="false">IFERROR(H11/H7,0)</f>
        <v>124.001941747573</v>
      </c>
      <c r="I13" s="8" t="n">
        <f aca="false">IFERROR(I11/I7,0)</f>
        <v>124</v>
      </c>
      <c r="J13" s="8" t="n">
        <f aca="false">IFERROR(J11/J7,0)</f>
        <v>124</v>
      </c>
      <c r="K13" s="8" t="n">
        <f aca="false">IFERROR(K11/K7,0)</f>
        <v>124</v>
      </c>
      <c r="L13" s="8" t="n">
        <f aca="false">IFERROR(L11/L7,0)</f>
        <v>124</v>
      </c>
      <c r="M13" s="8" t="n">
        <f aca="false">IFERROR(M11/M7,0)</f>
        <v>124</v>
      </c>
      <c r="N13" s="8" t="n">
        <f aca="false">IFERROR(N11/N7,0)</f>
        <v>124.001919385797</v>
      </c>
      <c r="O13" s="8" t="n">
        <f aca="false">IFERROR(O11/O7,0)</f>
        <v>124.001919385797</v>
      </c>
      <c r="P13" s="8" t="n">
        <f aca="false">IFERROR(P11/P7,0)</f>
        <v>124.001919385797</v>
      </c>
      <c r="Q13" s="8" t="n">
        <f aca="false">IFERROR(Q11/Q7,0)</f>
        <v>124.001919385797</v>
      </c>
      <c r="R13" s="8" t="n">
        <f aca="false">IFERROR(R11/R7,0)</f>
        <v>124.001919385797</v>
      </c>
      <c r="S13" s="8" t="n">
        <f aca="false">IFERROR(S11/S7,0)</f>
        <v>124.001919385797</v>
      </c>
      <c r="T13" s="8" t="n">
        <f aca="false">IFERROR(T11/T7,0)</f>
        <v>124.001919385797</v>
      </c>
      <c r="U13" s="8" t="n">
        <f aca="false">IFERROR(U11/U7,0)</f>
        <v>124.001919385797</v>
      </c>
      <c r="V13" s="8" t="n">
        <f aca="false">IFERROR(V11/V7,0)</f>
        <v>124.001919385797</v>
      </c>
      <c r="W13" s="8" t="n">
        <f aca="false">IFERROR(W11/W7,0)</f>
        <v>124.001919385797</v>
      </c>
      <c r="X13" s="8" t="n">
        <f aca="false">IFERROR(X11/X7,0)</f>
        <v>124.001919385797</v>
      </c>
      <c r="Y13" s="8" t="n">
        <f aca="false">IFERROR(Y11/Y7,0)</f>
        <v>124.001919385797</v>
      </c>
      <c r="Z13" s="8" t="n">
        <f aca="false">IFERROR(Z11/Z7,0)</f>
        <v>124.001919385797</v>
      </c>
      <c r="AA13" s="8" t="n">
        <f aca="false">IFERROR(AA11/AA7,0)</f>
        <v>124.001919385797</v>
      </c>
      <c r="AB13" s="8" t="n">
        <f aca="false">IFERROR(AB11/AB7,0)</f>
        <v>124.001919385797</v>
      </c>
      <c r="AC13" s="8" t="n">
        <f aca="false">IFERROR(AC11/AC7,0)</f>
        <v>124.001919385797</v>
      </c>
      <c r="AD13" s="8" t="n">
        <f aca="false">IFERROR(AD11/AD7,0)</f>
        <v>124.001919385797</v>
      </c>
      <c r="AE13" s="8" t="n">
        <f aca="false">IFERROR(AE11/AE7,0)</f>
        <v>124.001919385797</v>
      </c>
      <c r="AF13" s="8" t="n">
        <f aca="false">IFERROR(AF11/AF7,0)</f>
        <v>124.001919385797</v>
      </c>
      <c r="AG13" s="8" t="n">
        <f aca="false">IFERROR(AG11/AG7,0)</f>
        <v>124.001919385797</v>
      </c>
      <c r="AH13" s="8" t="n">
        <f aca="false">IFERROR(AH11/AH7,0)</f>
        <v>124.001919385797</v>
      </c>
      <c r="AI13" s="8" t="n">
        <f aca="false">IFERROR(AI11/AI7,0)</f>
        <v>124.001919385797</v>
      </c>
      <c r="AJ13" s="8" t="n">
        <f aca="false">IFERROR(AJ11/AJ7,0)</f>
        <v>124.001919385797</v>
      </c>
      <c r="AK13" s="8" t="n">
        <f aca="false">IFERROR(AK11/AK7,0)</f>
        <v>124.001919385797</v>
      </c>
    </row>
    <row r="14" customFormat="false" ht="15" hidden="false" customHeight="true" outlineLevel="0" collapsed="false">
      <c r="A14" s="1" t="s">
        <v>124</v>
      </c>
      <c r="C14" s="9" t="n">
        <f aca="false">0</f>
        <v>0</v>
      </c>
      <c r="D14" s="9" t="n">
        <f aca="false">IFERROR((D11-C11)/C11,0)</f>
        <v>-3.14705882352941</v>
      </c>
      <c r="E14" s="9" t="n">
        <f aca="false">IFERROR((E11-D11)/D11,0)</f>
        <v>0.00195694716242661</v>
      </c>
      <c r="F14" s="9" t="n">
        <f aca="false">IFERROR((F11-E11)/E11,0)</f>
        <v>0.001953125</v>
      </c>
      <c r="G14" s="9" t="n">
        <f aca="false">IFERROR((G11-F11)/F11,0)</f>
        <v>0.00194931773879142</v>
      </c>
      <c r="H14" s="9" t="n">
        <f aca="false">IFERROR((H11-G11)/G11,0)</f>
        <v>0.00196121501192419</v>
      </c>
      <c r="I14" s="9" t="n">
        <f aca="false">IFERROR((I11-H11)/H11,0)</f>
        <v>0.00192605815756095</v>
      </c>
      <c r="J14" s="9" t="n">
        <f aca="false">IFERROR((J11-I11)/I11,0)</f>
        <v>0.00193798449612403</v>
      </c>
      <c r="K14" s="9" t="n">
        <f aca="false">IFERROR((K11-J11)/J11,0)</f>
        <v>0.00193423597678917</v>
      </c>
      <c r="L14" s="9" t="n">
        <f aca="false">IFERROR((L11-K11)/K11,0)</f>
        <v>0.00193050193050193</v>
      </c>
      <c r="M14" s="9" t="n">
        <f aca="false">IFERROR((M11-L11)/L11,0)</f>
        <v>0.00192678227360308</v>
      </c>
      <c r="N14" s="9" t="n">
        <f aca="false">IFERROR((N11-M11)/M11,0)</f>
        <v>0.00193858560794045</v>
      </c>
      <c r="O14" s="9" t="n">
        <f aca="false">IFERROR((O11-N11)/N11,0)</f>
        <v>0</v>
      </c>
      <c r="P14" s="9" t="n">
        <f aca="false">IFERROR((P11-O11)/O11,0)</f>
        <v>0</v>
      </c>
      <c r="Q14" s="9" t="n">
        <f aca="false">IFERROR((Q11-P11)/P11,0)</f>
        <v>0</v>
      </c>
      <c r="R14" s="9" t="n">
        <f aca="false">IFERROR((R11-Q11)/Q11,0)</f>
        <v>0</v>
      </c>
      <c r="S14" s="9" t="n">
        <f aca="false">IFERROR((S11-R11)/R11,0)</f>
        <v>0</v>
      </c>
      <c r="T14" s="9" t="n">
        <f aca="false">IFERROR((T11-S11)/S11,0)</f>
        <v>0</v>
      </c>
      <c r="U14" s="9" t="n">
        <f aca="false">IFERROR((U11-T11)/T11,0)</f>
        <v>0</v>
      </c>
      <c r="V14" s="9" t="n">
        <f aca="false">IFERROR((V11-U11)/U11,0)</f>
        <v>0</v>
      </c>
      <c r="W14" s="9" t="n">
        <f aca="false">IFERROR((W11-V11)/V11,0)</f>
        <v>0</v>
      </c>
      <c r="X14" s="9" t="n">
        <f aca="false">IFERROR((X11-W11)/W11,0)</f>
        <v>0</v>
      </c>
      <c r="Y14" s="9" t="n">
        <f aca="false">IFERROR((Y11-X11)/X11,0)</f>
        <v>0</v>
      </c>
      <c r="Z14" s="9" t="n">
        <f aca="false">IFERROR((Z11-Y11)/Y11,0)</f>
        <v>0</v>
      </c>
      <c r="AA14" s="9" t="n">
        <f aca="false">IFERROR((AA11-Z11)/Z11,0)</f>
        <v>0</v>
      </c>
      <c r="AB14" s="9" t="n">
        <f aca="false">IFERROR((AB11-AA11)/AA11,0)</f>
        <v>0</v>
      </c>
      <c r="AC14" s="9" t="n">
        <f aca="false">IFERROR((AC11-AB11)/AB11,0)</f>
        <v>0</v>
      </c>
      <c r="AD14" s="9" t="n">
        <f aca="false">IFERROR((AD11-AC11)/AC11,0)</f>
        <v>0</v>
      </c>
      <c r="AE14" s="9" t="n">
        <f aca="false">IFERROR((AE11-AD11)/AD11,0)</f>
        <v>0</v>
      </c>
      <c r="AF14" s="9" t="n">
        <f aca="false">IFERROR((AF11-AE11)/AE11,0)</f>
        <v>0</v>
      </c>
      <c r="AG14" s="9" t="n">
        <f aca="false">IFERROR((AG11-AF11)/AF11,0)</f>
        <v>0</v>
      </c>
      <c r="AH14" s="9" t="n">
        <f aca="false">IFERROR((AH11-AG11)/AG11,0)</f>
        <v>0</v>
      </c>
      <c r="AI14" s="9" t="n">
        <f aca="false">IFERROR((AI11-AH11)/AH11,0)</f>
        <v>0</v>
      </c>
      <c r="AJ14" s="9" t="n">
        <f aca="false">IFERROR((AJ11-AI11)/AI11,0)</f>
        <v>0</v>
      </c>
      <c r="AK14" s="9" t="n">
        <f aca="false">IFERROR((AK11-AJ11)/AJ11,0)</f>
        <v>0</v>
      </c>
    </row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5"/>
    <col collapsed="false" customWidth="true" hidden="false" outlineLevel="0" max="12" min="2" style="1" width="12"/>
  </cols>
  <sheetData>
    <row r="1" customFormat="false" ht="17.25" hidden="false" customHeight="true" outlineLevel="0" collapsed="false">
      <c r="A1" s="12" t="s">
        <v>125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customFormat="false" ht="15" hidden="false" customHeight="true" outlineLevel="0" collapsed="false">
      <c r="A3" s="6" t="s">
        <v>19</v>
      </c>
      <c r="B3" s="17" t="s">
        <v>20</v>
      </c>
      <c r="C3" s="17" t="s">
        <v>21</v>
      </c>
      <c r="D3" s="17" t="s">
        <v>22</v>
      </c>
      <c r="E3" s="17" t="s">
        <v>23</v>
      </c>
      <c r="F3" s="17" t="s">
        <v>24</v>
      </c>
      <c r="G3" s="17" t="s">
        <v>25</v>
      </c>
      <c r="H3" s="17" t="s">
        <v>26</v>
      </c>
      <c r="I3" s="17" t="s">
        <v>27</v>
      </c>
      <c r="J3" s="17" t="s">
        <v>28</v>
      </c>
      <c r="K3" s="17" t="s">
        <v>29</v>
      </c>
      <c r="L3" s="17" t="s">
        <v>30</v>
      </c>
      <c r="M3" s="17" t="s">
        <v>31</v>
      </c>
      <c r="N3" s="18" t="s">
        <v>90</v>
      </c>
      <c r="O3" s="18" t="s">
        <v>91</v>
      </c>
      <c r="P3" s="18" t="s">
        <v>92</v>
      </c>
      <c r="Q3" s="18" t="s">
        <v>93</v>
      </c>
      <c r="R3" s="18" t="s">
        <v>94</v>
      </c>
      <c r="S3" s="18" t="s">
        <v>95</v>
      </c>
      <c r="T3" s="18" t="s">
        <v>96</v>
      </c>
      <c r="U3" s="18" t="s">
        <v>97</v>
      </c>
      <c r="V3" s="18" t="s">
        <v>98</v>
      </c>
      <c r="W3" s="18" t="s">
        <v>99</v>
      </c>
      <c r="X3" s="18" t="s">
        <v>100</v>
      </c>
      <c r="Y3" s="18" t="s">
        <v>101</v>
      </c>
      <c r="Z3" s="18" t="s">
        <v>102</v>
      </c>
      <c r="AA3" s="18" t="s">
        <v>103</v>
      </c>
      <c r="AB3" s="18" t="s">
        <v>104</v>
      </c>
      <c r="AC3" s="18" t="s">
        <v>105</v>
      </c>
      <c r="AD3" s="18" t="s">
        <v>106</v>
      </c>
      <c r="AE3" s="18" t="s">
        <v>107</v>
      </c>
      <c r="AF3" s="18" t="s">
        <v>108</v>
      </c>
      <c r="AG3" s="18" t="s">
        <v>109</v>
      </c>
      <c r="AH3" s="18" t="s">
        <v>110</v>
      </c>
      <c r="AI3" s="18" t="s">
        <v>111</v>
      </c>
      <c r="AJ3" s="18" t="s">
        <v>112</v>
      </c>
      <c r="AK3" s="18" t="s">
        <v>113</v>
      </c>
    </row>
    <row r="4" customFormat="false" ht="15" hidden="false" customHeight="true" outlineLevel="0" collapsed="false">
      <c r="A4" s="20" t="s">
        <v>126</v>
      </c>
    </row>
    <row r="5" customFormat="false" ht="15" hidden="false" customHeight="true" outlineLevel="0" collapsed="false">
      <c r="A5" s="1" t="s">
        <v>71</v>
      </c>
      <c r="C5" s="8" t="n">
        <f aca="false">Assumptions!B32*Assumptions!C32/12</f>
        <v>10000</v>
      </c>
      <c r="D5" s="8" t="n">
        <f aca="false">Assumptions!B32*Assumptions!C32/12</f>
        <v>10000</v>
      </c>
      <c r="E5" s="8" t="n">
        <f aca="false">Assumptions!B32*Assumptions!C32/12</f>
        <v>10000</v>
      </c>
      <c r="F5" s="8" t="n">
        <f aca="false">Assumptions!B32*Assumptions!C32/12</f>
        <v>10000</v>
      </c>
      <c r="G5" s="8" t="n">
        <f aca="false">Assumptions!B32*Assumptions!C32/12</f>
        <v>10000</v>
      </c>
      <c r="H5" s="8" t="n">
        <f aca="false">Assumptions!B32*Assumptions!C32/12</f>
        <v>10000</v>
      </c>
      <c r="I5" s="8" t="n">
        <f aca="false">Assumptions!B32*Assumptions!C32/12</f>
        <v>10000</v>
      </c>
      <c r="J5" s="8" t="n">
        <f aca="false">Assumptions!B32*Assumptions!C32/12</f>
        <v>10000</v>
      </c>
      <c r="K5" s="8" t="n">
        <f aca="false">Assumptions!B32*Assumptions!C32/12</f>
        <v>10000</v>
      </c>
      <c r="L5" s="8" t="n">
        <f aca="false">Assumptions!B32*Assumptions!C32/12</f>
        <v>10000</v>
      </c>
      <c r="M5" s="8" t="n">
        <f aca="false">Assumptions!B32*Assumptions!C32/12</f>
        <v>10000</v>
      </c>
      <c r="N5" s="8" t="n">
        <f aca="false">Assumptions!B32*Assumptions!C32/12</f>
        <v>10000</v>
      </c>
      <c r="O5" s="8" t="n">
        <f aca="false">Assumptions!B32*Assumptions!C32/12</f>
        <v>10000</v>
      </c>
      <c r="P5" s="8" t="n">
        <f aca="false">Assumptions!B32*Assumptions!C32/12</f>
        <v>10000</v>
      </c>
      <c r="Q5" s="8" t="n">
        <f aca="false">Assumptions!B32*Assumptions!C32/12</f>
        <v>10000</v>
      </c>
      <c r="R5" s="8" t="n">
        <f aca="false">Assumptions!B32*Assumptions!C32/12</f>
        <v>10000</v>
      </c>
      <c r="S5" s="8" t="n">
        <f aca="false">Assumptions!B32*Assumptions!C32/12</f>
        <v>10000</v>
      </c>
      <c r="T5" s="8" t="n">
        <f aca="false">Assumptions!B32*Assumptions!C32/12</f>
        <v>10000</v>
      </c>
      <c r="U5" s="8" t="n">
        <f aca="false">Assumptions!B32*Assumptions!C32/12</f>
        <v>10000</v>
      </c>
      <c r="V5" s="8" t="n">
        <f aca="false">Assumptions!B32*Assumptions!C32/12</f>
        <v>10000</v>
      </c>
      <c r="W5" s="8" t="n">
        <f aca="false">Assumptions!B32*Assumptions!C32/12</f>
        <v>10000</v>
      </c>
      <c r="X5" s="8" t="n">
        <f aca="false">Assumptions!B32*Assumptions!C32/12</f>
        <v>10000</v>
      </c>
      <c r="Y5" s="8" t="n">
        <f aca="false">Assumptions!B32*Assumptions!C32/12</f>
        <v>10000</v>
      </c>
      <c r="Z5" s="8" t="n">
        <f aca="false">Assumptions!B32*Assumptions!C32/12</f>
        <v>10000</v>
      </c>
      <c r="AA5" s="8" t="n">
        <f aca="false">Assumptions!B32*Assumptions!C32/12</f>
        <v>10000</v>
      </c>
      <c r="AB5" s="8" t="n">
        <f aca="false">Assumptions!B32*Assumptions!C32/12</f>
        <v>10000</v>
      </c>
      <c r="AC5" s="8" t="n">
        <f aca="false">Assumptions!B32*Assumptions!C32/12</f>
        <v>10000</v>
      </c>
      <c r="AD5" s="8" t="n">
        <f aca="false">Assumptions!B32*Assumptions!C32/12</f>
        <v>10000</v>
      </c>
      <c r="AE5" s="8" t="n">
        <f aca="false">Assumptions!B32*Assumptions!C32/12</f>
        <v>10000</v>
      </c>
      <c r="AF5" s="8" t="n">
        <f aca="false">Assumptions!B32*Assumptions!C32/12</f>
        <v>10000</v>
      </c>
      <c r="AG5" s="8" t="n">
        <f aca="false">Assumptions!B32*Assumptions!C32/12</f>
        <v>10000</v>
      </c>
      <c r="AH5" s="8" t="n">
        <f aca="false">Assumptions!B32*Assumptions!C32/12</f>
        <v>10000</v>
      </c>
      <c r="AI5" s="8" t="n">
        <f aca="false">Assumptions!B32*Assumptions!C32/12</f>
        <v>10000</v>
      </c>
      <c r="AJ5" s="8" t="n">
        <f aca="false">Assumptions!B32*Assumptions!C32/12</f>
        <v>10000</v>
      </c>
      <c r="AK5" s="8" t="n">
        <f aca="false">Assumptions!B32*Assumptions!C32/12</f>
        <v>10000</v>
      </c>
    </row>
    <row r="6" customFormat="false" ht="15" hidden="false" customHeight="true" outlineLevel="0" collapsed="false">
      <c r="A6" s="1" t="s">
        <v>72</v>
      </c>
      <c r="C6" s="8" t="n">
        <f aca="false">IF(1&lt;=6,Assumptions!C33,IF(1&lt;=18,Assumptions!C33+1,Assumptions!C33+2))*Assumptions!B33/12</f>
        <v>12500</v>
      </c>
      <c r="D6" s="8" t="n">
        <f aca="false">IF(2&lt;=6,Assumptions!C33,IF(2&lt;=18,Assumptions!C33+1,Assumptions!C33+2))*Assumptions!B33/12</f>
        <v>12500</v>
      </c>
      <c r="E6" s="8" t="n">
        <f aca="false">IF(3&lt;=6,Assumptions!C33,IF(3&lt;=18,Assumptions!C33+1,Assumptions!C33+2))*Assumptions!B33/12</f>
        <v>12500</v>
      </c>
      <c r="F6" s="8" t="n">
        <f aca="false">IF(4&lt;=6,Assumptions!C33,IF(4&lt;=18,Assumptions!C33+1,Assumptions!C33+2))*Assumptions!B33/12</f>
        <v>12500</v>
      </c>
      <c r="G6" s="8" t="n">
        <f aca="false">IF(5&lt;=6,Assumptions!C33,IF(5&lt;=18,Assumptions!C33+1,Assumptions!C33+2))*Assumptions!B33/12</f>
        <v>12500</v>
      </c>
      <c r="H6" s="8" t="n">
        <f aca="false">IF(6&lt;=6,Assumptions!C33,IF(6&lt;=18,Assumptions!C33+1,Assumptions!C33+2))*Assumptions!B33/12</f>
        <v>12500</v>
      </c>
      <c r="I6" s="8" t="n">
        <f aca="false">IF(7&lt;=6,Assumptions!C33,IF(7&lt;=18,Assumptions!C33+1,Assumptions!C33+2))*Assumptions!B33/12</f>
        <v>25000</v>
      </c>
      <c r="J6" s="8" t="n">
        <f aca="false">IF(8&lt;=6,Assumptions!C33,IF(8&lt;=18,Assumptions!C33+1,Assumptions!C33+2))*Assumptions!B33/12</f>
        <v>25000</v>
      </c>
      <c r="K6" s="8" t="n">
        <f aca="false">IF(9&lt;=6,Assumptions!C33,IF(9&lt;=18,Assumptions!C33+1,Assumptions!C33+2))*Assumptions!B33/12</f>
        <v>25000</v>
      </c>
      <c r="L6" s="8" t="n">
        <f aca="false">IF(10&lt;=6,Assumptions!C33,IF(10&lt;=18,Assumptions!C33+1,Assumptions!C33+2))*Assumptions!B33/12</f>
        <v>25000</v>
      </c>
      <c r="M6" s="8" t="n">
        <f aca="false">IF(11&lt;=6,Assumptions!C33,IF(11&lt;=18,Assumptions!C33+1,Assumptions!C33+2))*Assumptions!B33/12</f>
        <v>25000</v>
      </c>
      <c r="N6" s="8" t="n">
        <f aca="false">IF(12&lt;=6,Assumptions!C33,IF(12&lt;=18,Assumptions!C33+1,Assumptions!C33+2))*Assumptions!B33/12</f>
        <v>25000</v>
      </c>
      <c r="O6" s="8" t="n">
        <f aca="false">IF(13&lt;=6,Assumptions!C33,IF(13&lt;=18,Assumptions!C33+1,Assumptions!C33+2))*Assumptions!B33/12</f>
        <v>25000</v>
      </c>
      <c r="P6" s="8" t="n">
        <f aca="false">IF(14&lt;=6,Assumptions!C33,IF(14&lt;=18,Assumptions!C33+1,Assumptions!C33+2))*Assumptions!B33/12</f>
        <v>25000</v>
      </c>
      <c r="Q6" s="8" t="n">
        <f aca="false">IF(15&lt;=6,Assumptions!C33,IF(15&lt;=18,Assumptions!C33+1,Assumptions!C33+2))*Assumptions!B33/12</f>
        <v>25000</v>
      </c>
      <c r="R6" s="8" t="n">
        <f aca="false">IF(16&lt;=6,Assumptions!C33,IF(16&lt;=18,Assumptions!C33+1,Assumptions!C33+2))*Assumptions!B33/12</f>
        <v>25000</v>
      </c>
      <c r="S6" s="8" t="n">
        <f aca="false">IF(17&lt;=6,Assumptions!C33,IF(17&lt;=18,Assumptions!C33+1,Assumptions!C33+2))*Assumptions!B33/12</f>
        <v>25000</v>
      </c>
      <c r="T6" s="8" t="n">
        <f aca="false">IF(18&lt;=6,Assumptions!C33,IF(18&lt;=18,Assumptions!C33+1,Assumptions!C33+2))*Assumptions!B33/12</f>
        <v>25000</v>
      </c>
      <c r="U6" s="8" t="n">
        <f aca="false">IF(19&lt;=6,Assumptions!C33,IF(19&lt;=18,Assumptions!C33+1,Assumptions!C33+2))*Assumptions!B33/12</f>
        <v>37500</v>
      </c>
      <c r="V6" s="8" t="n">
        <f aca="false">IF(20&lt;=6,Assumptions!C33,IF(20&lt;=18,Assumptions!C33+1,Assumptions!C33+2))*Assumptions!B33/12</f>
        <v>37500</v>
      </c>
      <c r="W6" s="8" t="n">
        <f aca="false">IF(21&lt;=6,Assumptions!C33,IF(21&lt;=18,Assumptions!C33+1,Assumptions!C33+2))*Assumptions!B33/12</f>
        <v>37500</v>
      </c>
      <c r="X6" s="8" t="n">
        <f aca="false">IF(22&lt;=6,Assumptions!C33,IF(22&lt;=18,Assumptions!C33+1,Assumptions!C33+2))*Assumptions!B33/12</f>
        <v>37500</v>
      </c>
      <c r="Y6" s="8" t="n">
        <f aca="false">IF(23&lt;=6,Assumptions!C33,IF(23&lt;=18,Assumptions!C33+1,Assumptions!C33+2))*Assumptions!B33/12</f>
        <v>37500</v>
      </c>
      <c r="Z6" s="8" t="n">
        <f aca="false">IF(24&lt;=6,Assumptions!C33,IF(24&lt;=18,Assumptions!C33+1,Assumptions!C33+2))*Assumptions!B33/12</f>
        <v>37500</v>
      </c>
      <c r="AA6" s="8" t="n">
        <f aca="false">IF(25&lt;=6,Assumptions!C33,IF(25&lt;=18,Assumptions!C33+1,Assumptions!C33+2))*Assumptions!B33/12</f>
        <v>37500</v>
      </c>
      <c r="AB6" s="8" t="n">
        <f aca="false">IF(26&lt;=6,Assumptions!C33,IF(26&lt;=18,Assumptions!C33+1,Assumptions!C33+2))*Assumptions!B33/12</f>
        <v>37500</v>
      </c>
      <c r="AC6" s="8" t="n">
        <f aca="false">IF(27&lt;=6,Assumptions!C33,IF(27&lt;=18,Assumptions!C33+1,Assumptions!C33+2))*Assumptions!B33/12</f>
        <v>37500</v>
      </c>
      <c r="AD6" s="8" t="n">
        <f aca="false">IF(28&lt;=6,Assumptions!C33,IF(28&lt;=18,Assumptions!C33+1,Assumptions!C33+2))*Assumptions!B33/12</f>
        <v>37500</v>
      </c>
      <c r="AE6" s="8" t="n">
        <f aca="false">IF(29&lt;=6,Assumptions!C33,IF(29&lt;=18,Assumptions!C33+1,Assumptions!C33+2))*Assumptions!B33/12</f>
        <v>37500</v>
      </c>
      <c r="AF6" s="8" t="n">
        <f aca="false">IF(30&lt;=6,Assumptions!C33,IF(30&lt;=18,Assumptions!C33+1,Assumptions!C33+2))*Assumptions!B33/12</f>
        <v>37500</v>
      </c>
      <c r="AG6" s="8" t="n">
        <f aca="false">IF(31&lt;=6,Assumptions!C33,IF(31&lt;=18,Assumptions!C33+1,Assumptions!C33+2))*Assumptions!B33/12</f>
        <v>37500</v>
      </c>
      <c r="AH6" s="8" t="n">
        <f aca="false">IF(32&lt;=6,Assumptions!C33,IF(32&lt;=18,Assumptions!C33+1,Assumptions!C33+2))*Assumptions!B33/12</f>
        <v>37500</v>
      </c>
      <c r="AI6" s="8" t="n">
        <f aca="false">IF(33&lt;=6,Assumptions!C33,IF(33&lt;=18,Assumptions!C33+1,Assumptions!C33+2))*Assumptions!B33/12</f>
        <v>37500</v>
      </c>
      <c r="AJ6" s="8" t="n">
        <f aca="false">IF(34&lt;=6,Assumptions!C33,IF(34&lt;=18,Assumptions!C33+1,Assumptions!C33+2))*Assumptions!B33/12</f>
        <v>37500</v>
      </c>
      <c r="AK6" s="8" t="n">
        <f aca="false">IF(35&lt;=6,Assumptions!C33,IF(35&lt;=18,Assumptions!C33+1,Assumptions!C33+2))*Assumptions!B33/12</f>
        <v>37500</v>
      </c>
    </row>
    <row r="7" customFormat="false" ht="15" hidden="false" customHeight="true" outlineLevel="0" collapsed="false">
      <c r="A7" s="1" t="s">
        <v>73</v>
      </c>
      <c r="C7" s="8" t="n">
        <f aca="false">IF(1&lt;=12,0,IF(1&lt;=24,1,2))*Assumptions!B34/12</f>
        <v>0</v>
      </c>
      <c r="D7" s="8" t="n">
        <f aca="false">IF(2&lt;=12,0,IF(2&lt;=24,1,2))*Assumptions!B34/12</f>
        <v>0</v>
      </c>
      <c r="E7" s="8" t="n">
        <f aca="false">IF(3&lt;=12,0,IF(3&lt;=24,1,2))*Assumptions!B34/12</f>
        <v>0</v>
      </c>
      <c r="F7" s="8" t="n">
        <f aca="false">IF(4&lt;=12,0,IF(4&lt;=24,1,2))*Assumptions!B34/12</f>
        <v>0</v>
      </c>
      <c r="G7" s="8" t="n">
        <f aca="false">IF(5&lt;=12,0,IF(5&lt;=24,1,2))*Assumptions!B34/12</f>
        <v>0</v>
      </c>
      <c r="H7" s="8" t="n">
        <f aca="false">IF(6&lt;=12,0,IF(6&lt;=24,1,2))*Assumptions!B34/12</f>
        <v>0</v>
      </c>
      <c r="I7" s="8" t="n">
        <f aca="false">IF(7&lt;=12,0,IF(7&lt;=24,1,2))*Assumptions!B34/12</f>
        <v>0</v>
      </c>
      <c r="J7" s="8" t="n">
        <f aca="false">IF(8&lt;=12,0,IF(8&lt;=24,1,2))*Assumptions!B34/12</f>
        <v>0</v>
      </c>
      <c r="K7" s="8" t="n">
        <f aca="false">IF(9&lt;=12,0,IF(9&lt;=24,1,2))*Assumptions!B34/12</f>
        <v>0</v>
      </c>
      <c r="L7" s="8" t="n">
        <f aca="false">IF(10&lt;=12,0,IF(10&lt;=24,1,2))*Assumptions!B34/12</f>
        <v>0</v>
      </c>
      <c r="M7" s="8" t="n">
        <f aca="false">IF(11&lt;=12,0,IF(11&lt;=24,1,2))*Assumptions!B34/12</f>
        <v>0</v>
      </c>
      <c r="N7" s="8" t="n">
        <f aca="false">IF(12&lt;=12,0,IF(12&lt;=24,1,2))*Assumptions!B34/12</f>
        <v>0</v>
      </c>
      <c r="O7" s="8" t="n">
        <f aca="false">IF(13&lt;=12,0,IF(13&lt;=24,1,2))*Assumptions!B34/12</f>
        <v>8333.33333333333</v>
      </c>
      <c r="P7" s="8" t="n">
        <f aca="false">IF(14&lt;=12,0,IF(14&lt;=24,1,2))*Assumptions!B34/12</f>
        <v>8333.33333333333</v>
      </c>
      <c r="Q7" s="8" t="n">
        <f aca="false">IF(15&lt;=12,0,IF(15&lt;=24,1,2))*Assumptions!B34/12</f>
        <v>8333.33333333333</v>
      </c>
      <c r="R7" s="8" t="n">
        <f aca="false">IF(16&lt;=12,0,IF(16&lt;=24,1,2))*Assumptions!B34/12</f>
        <v>8333.33333333333</v>
      </c>
      <c r="S7" s="8" t="n">
        <f aca="false">IF(17&lt;=12,0,IF(17&lt;=24,1,2))*Assumptions!B34/12</f>
        <v>8333.33333333333</v>
      </c>
      <c r="T7" s="8" t="n">
        <f aca="false">IF(18&lt;=12,0,IF(18&lt;=24,1,2))*Assumptions!B34/12</f>
        <v>8333.33333333333</v>
      </c>
      <c r="U7" s="8" t="n">
        <f aca="false">IF(19&lt;=12,0,IF(19&lt;=24,1,2))*Assumptions!B34/12</f>
        <v>8333.33333333333</v>
      </c>
      <c r="V7" s="8" t="n">
        <f aca="false">IF(20&lt;=12,0,IF(20&lt;=24,1,2))*Assumptions!B34/12</f>
        <v>8333.33333333333</v>
      </c>
      <c r="W7" s="8" t="n">
        <f aca="false">IF(21&lt;=12,0,IF(21&lt;=24,1,2))*Assumptions!B34/12</f>
        <v>8333.33333333333</v>
      </c>
      <c r="X7" s="8" t="n">
        <f aca="false">IF(22&lt;=12,0,IF(22&lt;=24,1,2))*Assumptions!B34/12</f>
        <v>8333.33333333333</v>
      </c>
      <c r="Y7" s="8" t="n">
        <f aca="false">IF(23&lt;=12,0,IF(23&lt;=24,1,2))*Assumptions!B34/12</f>
        <v>8333.33333333333</v>
      </c>
      <c r="Z7" s="8" t="n">
        <f aca="false">IF(24&lt;=12,0,IF(24&lt;=24,1,2))*Assumptions!B34/12</f>
        <v>8333.33333333333</v>
      </c>
      <c r="AA7" s="8" t="n">
        <f aca="false">IF(25&lt;=12,0,IF(25&lt;=24,1,2))*Assumptions!B34/12</f>
        <v>16666.6666666667</v>
      </c>
      <c r="AB7" s="8" t="n">
        <f aca="false">IF(26&lt;=12,0,IF(26&lt;=24,1,2))*Assumptions!B34/12</f>
        <v>16666.6666666667</v>
      </c>
      <c r="AC7" s="8" t="n">
        <f aca="false">IF(27&lt;=12,0,IF(27&lt;=24,1,2))*Assumptions!B34/12</f>
        <v>16666.6666666667</v>
      </c>
      <c r="AD7" s="8" t="n">
        <f aca="false">IF(28&lt;=12,0,IF(28&lt;=24,1,2))*Assumptions!B34/12</f>
        <v>16666.6666666667</v>
      </c>
      <c r="AE7" s="8" t="n">
        <f aca="false">IF(29&lt;=12,0,IF(29&lt;=24,1,2))*Assumptions!B34/12</f>
        <v>16666.6666666667</v>
      </c>
      <c r="AF7" s="8" t="n">
        <f aca="false">IF(30&lt;=12,0,IF(30&lt;=24,1,2))*Assumptions!B34/12</f>
        <v>16666.6666666667</v>
      </c>
      <c r="AG7" s="8" t="n">
        <f aca="false">IF(31&lt;=12,0,IF(31&lt;=24,1,2))*Assumptions!B34/12</f>
        <v>16666.6666666667</v>
      </c>
      <c r="AH7" s="8" t="n">
        <f aca="false">IF(32&lt;=12,0,IF(32&lt;=24,1,2))*Assumptions!B34/12</f>
        <v>16666.6666666667</v>
      </c>
      <c r="AI7" s="8" t="n">
        <f aca="false">IF(33&lt;=12,0,IF(33&lt;=24,1,2))*Assumptions!B34/12</f>
        <v>16666.6666666667</v>
      </c>
      <c r="AJ7" s="8" t="n">
        <f aca="false">IF(34&lt;=12,0,IF(34&lt;=24,1,2))*Assumptions!B34/12</f>
        <v>16666.6666666667</v>
      </c>
      <c r="AK7" s="8" t="n">
        <f aca="false">IF(35&lt;=12,0,IF(35&lt;=24,1,2))*Assumptions!B34/12</f>
        <v>16666.6666666667</v>
      </c>
    </row>
    <row r="8" customFormat="false" ht="15" hidden="false" customHeight="true" outlineLevel="0" collapsed="false">
      <c r="A8" s="1" t="s">
        <v>74</v>
      </c>
      <c r="C8" s="8" t="n">
        <f aca="false">IF(1&lt;=18,0,1)*Assumptions!B35/12</f>
        <v>0</v>
      </c>
      <c r="D8" s="8" t="n">
        <f aca="false">IF(2&lt;=18,0,1)*Assumptions!B35/12</f>
        <v>0</v>
      </c>
      <c r="E8" s="8" t="n">
        <f aca="false">IF(3&lt;=18,0,1)*Assumptions!B35/12</f>
        <v>0</v>
      </c>
      <c r="F8" s="8" t="n">
        <f aca="false">IF(4&lt;=18,0,1)*Assumptions!B35/12</f>
        <v>0</v>
      </c>
      <c r="G8" s="8" t="n">
        <f aca="false">IF(5&lt;=18,0,1)*Assumptions!B35/12</f>
        <v>0</v>
      </c>
      <c r="H8" s="8" t="n">
        <f aca="false">IF(6&lt;=18,0,1)*Assumptions!B35/12</f>
        <v>0</v>
      </c>
      <c r="I8" s="8" t="n">
        <f aca="false">IF(7&lt;=18,0,1)*Assumptions!B35/12</f>
        <v>0</v>
      </c>
      <c r="J8" s="8" t="n">
        <f aca="false">IF(8&lt;=18,0,1)*Assumptions!B35/12</f>
        <v>0</v>
      </c>
      <c r="K8" s="8" t="n">
        <f aca="false">IF(9&lt;=18,0,1)*Assumptions!B35/12</f>
        <v>0</v>
      </c>
      <c r="L8" s="8" t="n">
        <f aca="false">IF(10&lt;=18,0,1)*Assumptions!B35/12</f>
        <v>0</v>
      </c>
      <c r="M8" s="8" t="n">
        <f aca="false">IF(11&lt;=18,0,1)*Assumptions!B35/12</f>
        <v>0</v>
      </c>
      <c r="N8" s="8" t="n">
        <f aca="false">IF(12&lt;=18,0,1)*Assumptions!B35/12</f>
        <v>0</v>
      </c>
      <c r="O8" s="8" t="n">
        <f aca="false">IF(13&lt;=18,0,1)*Assumptions!B35/12</f>
        <v>0</v>
      </c>
      <c r="P8" s="8" t="n">
        <f aca="false">IF(14&lt;=18,0,1)*Assumptions!B35/12</f>
        <v>0</v>
      </c>
      <c r="Q8" s="8" t="n">
        <f aca="false">IF(15&lt;=18,0,1)*Assumptions!B35/12</f>
        <v>0</v>
      </c>
      <c r="R8" s="8" t="n">
        <f aca="false">IF(16&lt;=18,0,1)*Assumptions!B35/12</f>
        <v>0</v>
      </c>
      <c r="S8" s="8" t="n">
        <f aca="false">IF(17&lt;=18,0,1)*Assumptions!B35/12</f>
        <v>0</v>
      </c>
      <c r="T8" s="8" t="n">
        <f aca="false">IF(18&lt;=18,0,1)*Assumptions!B35/12</f>
        <v>0</v>
      </c>
      <c r="U8" s="8" t="n">
        <f aca="false">IF(19&lt;=18,0,1)*Assumptions!B35/12</f>
        <v>6666.66666666667</v>
      </c>
      <c r="V8" s="8" t="n">
        <f aca="false">IF(20&lt;=18,0,1)*Assumptions!B35/12</f>
        <v>6666.66666666667</v>
      </c>
      <c r="W8" s="8" t="n">
        <f aca="false">IF(21&lt;=18,0,1)*Assumptions!B35/12</f>
        <v>6666.66666666667</v>
      </c>
      <c r="X8" s="8" t="n">
        <f aca="false">IF(22&lt;=18,0,1)*Assumptions!B35/12</f>
        <v>6666.66666666667</v>
      </c>
      <c r="Y8" s="8" t="n">
        <f aca="false">IF(23&lt;=18,0,1)*Assumptions!B35/12</f>
        <v>6666.66666666667</v>
      </c>
      <c r="Z8" s="8" t="n">
        <f aca="false">IF(24&lt;=18,0,1)*Assumptions!B35/12</f>
        <v>6666.66666666667</v>
      </c>
      <c r="AA8" s="8" t="n">
        <f aca="false">IF(25&lt;=18,0,1)*Assumptions!B35/12</f>
        <v>6666.66666666667</v>
      </c>
      <c r="AB8" s="8" t="n">
        <f aca="false">IF(26&lt;=18,0,1)*Assumptions!B35/12</f>
        <v>6666.66666666667</v>
      </c>
      <c r="AC8" s="8" t="n">
        <f aca="false">IF(27&lt;=18,0,1)*Assumptions!B35/12</f>
        <v>6666.66666666667</v>
      </c>
      <c r="AD8" s="8" t="n">
        <f aca="false">IF(28&lt;=18,0,1)*Assumptions!B35/12</f>
        <v>6666.66666666667</v>
      </c>
      <c r="AE8" s="8" t="n">
        <f aca="false">IF(29&lt;=18,0,1)*Assumptions!B35/12</f>
        <v>6666.66666666667</v>
      </c>
      <c r="AF8" s="8" t="n">
        <f aca="false">IF(30&lt;=18,0,1)*Assumptions!B35/12</f>
        <v>6666.66666666667</v>
      </c>
      <c r="AG8" s="8" t="n">
        <f aca="false">IF(31&lt;=18,0,1)*Assumptions!B35/12</f>
        <v>6666.66666666667</v>
      </c>
      <c r="AH8" s="8" t="n">
        <f aca="false">IF(32&lt;=18,0,1)*Assumptions!B35/12</f>
        <v>6666.66666666667</v>
      </c>
      <c r="AI8" s="8" t="n">
        <f aca="false">IF(33&lt;=18,0,1)*Assumptions!B35/12</f>
        <v>6666.66666666667</v>
      </c>
      <c r="AJ8" s="8" t="n">
        <f aca="false">IF(34&lt;=18,0,1)*Assumptions!B35/12</f>
        <v>6666.66666666667</v>
      </c>
      <c r="AK8" s="8" t="n">
        <f aca="false">IF(35&lt;=18,0,1)*Assumptions!B35/12</f>
        <v>6666.66666666667</v>
      </c>
    </row>
    <row r="9" customFormat="false" ht="15" hidden="false" customHeight="true" outlineLevel="0" collapsed="false">
      <c r="A9" s="1" t="s">
        <v>127</v>
      </c>
      <c r="C9" s="8" t="n">
        <f aca="false">C5+C6+C7+C8</f>
        <v>22500</v>
      </c>
      <c r="D9" s="8" t="n">
        <f aca="false">D5+D6+D7+D8</f>
        <v>22500</v>
      </c>
      <c r="E9" s="8" t="n">
        <f aca="false">E5+E6+E7+E8</f>
        <v>22500</v>
      </c>
      <c r="F9" s="8" t="n">
        <f aca="false">F5+F6+F7+F8</f>
        <v>22500</v>
      </c>
      <c r="G9" s="8" t="n">
        <f aca="false">G5+G6+G7+G8</f>
        <v>22500</v>
      </c>
      <c r="H9" s="8" t="n">
        <f aca="false">H5+H6+H7+H8</f>
        <v>22500</v>
      </c>
      <c r="I9" s="8" t="n">
        <f aca="false">I5+I6+I7+I8</f>
        <v>35000</v>
      </c>
      <c r="J9" s="8" t="n">
        <f aca="false">J5+J6+J7+J8</f>
        <v>35000</v>
      </c>
      <c r="K9" s="8" t="n">
        <f aca="false">K5+K6+K7+K8</f>
        <v>35000</v>
      </c>
      <c r="L9" s="8" t="n">
        <f aca="false">L5+L6+L7+L8</f>
        <v>35000</v>
      </c>
      <c r="M9" s="8" t="n">
        <f aca="false">M5+M6+M7+M8</f>
        <v>35000</v>
      </c>
      <c r="N9" s="8" t="n">
        <f aca="false">N5+N6+N7+N8</f>
        <v>35000</v>
      </c>
      <c r="O9" s="8" t="n">
        <f aca="false">O5+O6+O7+O8</f>
        <v>43333.3333333333</v>
      </c>
      <c r="P9" s="8" t="n">
        <f aca="false">P5+P6+P7+P8</f>
        <v>43333.3333333333</v>
      </c>
      <c r="Q9" s="8" t="n">
        <f aca="false">Q5+Q6+Q7+Q8</f>
        <v>43333.3333333333</v>
      </c>
      <c r="R9" s="8" t="n">
        <f aca="false">R5+R6+R7+R8</f>
        <v>43333.3333333333</v>
      </c>
      <c r="S9" s="8" t="n">
        <f aca="false">S5+S6+S7+S8</f>
        <v>43333.3333333333</v>
      </c>
      <c r="T9" s="8" t="n">
        <f aca="false">T5+T6+T7+T8</f>
        <v>43333.3333333333</v>
      </c>
      <c r="U9" s="8" t="n">
        <f aca="false">U5+U6+U7+U8</f>
        <v>62500</v>
      </c>
      <c r="V9" s="8" t="n">
        <f aca="false">V5+V6+V7+V8</f>
        <v>62500</v>
      </c>
      <c r="W9" s="8" t="n">
        <f aca="false">W5+W6+W7+W8</f>
        <v>62500</v>
      </c>
      <c r="X9" s="8" t="n">
        <f aca="false">X5+X6+X7+X8</f>
        <v>62500</v>
      </c>
      <c r="Y9" s="8" t="n">
        <f aca="false">Y5+Y6+Y7+Y8</f>
        <v>62500</v>
      </c>
      <c r="Z9" s="8" t="n">
        <f aca="false">Z5+Z6+Z7+Z8</f>
        <v>62500</v>
      </c>
      <c r="AA9" s="8" t="n">
        <f aca="false">AA5+AA6+AA7+AA8</f>
        <v>70833.3333333333</v>
      </c>
      <c r="AB9" s="8" t="n">
        <f aca="false">AB5+AB6+AB7+AB8</f>
        <v>70833.3333333333</v>
      </c>
      <c r="AC9" s="8" t="n">
        <f aca="false">AC5+AC6+AC7+AC8</f>
        <v>70833.3333333333</v>
      </c>
      <c r="AD9" s="8" t="n">
        <f aca="false">AD5+AD6+AD7+AD8</f>
        <v>70833.3333333333</v>
      </c>
      <c r="AE9" s="8" t="n">
        <f aca="false">AE5+AE6+AE7+AE8</f>
        <v>70833.3333333333</v>
      </c>
      <c r="AF9" s="8" t="n">
        <f aca="false">AF5+AF6+AF7+AF8</f>
        <v>70833.3333333333</v>
      </c>
      <c r="AG9" s="8" t="n">
        <f aca="false">AG5+AG6+AG7+AG8</f>
        <v>70833.3333333333</v>
      </c>
      <c r="AH9" s="8" t="n">
        <f aca="false">AH5+AH6+AH7+AH8</f>
        <v>70833.3333333333</v>
      </c>
      <c r="AI9" s="8" t="n">
        <f aca="false">AI5+AI6+AI7+AI8</f>
        <v>70833.3333333333</v>
      </c>
      <c r="AJ9" s="8" t="n">
        <f aca="false">AJ5+AJ6+AJ7+AJ8</f>
        <v>70833.3333333333</v>
      </c>
      <c r="AK9" s="8" t="n">
        <f aca="false">AK5+AK6+AK7+AK8</f>
        <v>70833.3333333333</v>
      </c>
    </row>
    <row r="11" customFormat="false" ht="15" hidden="false" customHeight="true" outlineLevel="0" collapsed="false">
      <c r="A11" s="1" t="s">
        <v>78</v>
      </c>
      <c r="C11" s="8" t="n">
        <f aca="false">Assumptions!B39</f>
        <v>2000</v>
      </c>
      <c r="D11" s="8" t="n">
        <f aca="false">Assumptions!B39</f>
        <v>2000</v>
      </c>
      <c r="E11" s="8" t="n">
        <f aca="false">Assumptions!B39</f>
        <v>2000</v>
      </c>
      <c r="F11" s="8" t="n">
        <f aca="false">Assumptions!B39</f>
        <v>2000</v>
      </c>
      <c r="G11" s="8" t="n">
        <f aca="false">Assumptions!B39</f>
        <v>2000</v>
      </c>
      <c r="H11" s="8" t="n">
        <f aca="false">Assumptions!B39</f>
        <v>2000</v>
      </c>
      <c r="I11" s="8" t="n">
        <f aca="false">Assumptions!B39</f>
        <v>2000</v>
      </c>
      <c r="J11" s="8" t="n">
        <f aca="false">Assumptions!B39</f>
        <v>2000</v>
      </c>
      <c r="K11" s="8" t="n">
        <f aca="false">Assumptions!B39</f>
        <v>2000</v>
      </c>
      <c r="L11" s="8" t="n">
        <f aca="false">Assumptions!B39</f>
        <v>2000</v>
      </c>
      <c r="M11" s="8" t="n">
        <f aca="false">Assumptions!B39</f>
        <v>2000</v>
      </c>
      <c r="N11" s="8" t="n">
        <f aca="false">Assumptions!B39</f>
        <v>2000</v>
      </c>
      <c r="O11" s="8" t="n">
        <f aca="false">Assumptions!B39</f>
        <v>2000</v>
      </c>
      <c r="P11" s="8" t="n">
        <f aca="false">Assumptions!B39</f>
        <v>2000</v>
      </c>
      <c r="Q11" s="8" t="n">
        <f aca="false">Assumptions!B39</f>
        <v>2000</v>
      </c>
      <c r="R11" s="8" t="n">
        <f aca="false">Assumptions!B39</f>
        <v>2000</v>
      </c>
      <c r="S11" s="8" t="n">
        <f aca="false">Assumptions!B39</f>
        <v>2000</v>
      </c>
      <c r="T11" s="8" t="n">
        <f aca="false">Assumptions!B39</f>
        <v>2000</v>
      </c>
      <c r="U11" s="8" t="n">
        <f aca="false">Assumptions!B39</f>
        <v>2000</v>
      </c>
      <c r="V11" s="8" t="n">
        <f aca="false">Assumptions!B39</f>
        <v>2000</v>
      </c>
      <c r="W11" s="8" t="n">
        <f aca="false">Assumptions!B39</f>
        <v>2000</v>
      </c>
      <c r="X11" s="8" t="n">
        <f aca="false">Assumptions!B39</f>
        <v>2000</v>
      </c>
      <c r="Y11" s="8" t="n">
        <f aca="false">Assumptions!B39</f>
        <v>2000</v>
      </c>
      <c r="Z11" s="8" t="n">
        <f aca="false">Assumptions!B39</f>
        <v>2000</v>
      </c>
      <c r="AA11" s="8" t="n">
        <f aca="false">Assumptions!B39</f>
        <v>2000</v>
      </c>
      <c r="AB11" s="8" t="n">
        <f aca="false">Assumptions!B39</f>
        <v>2000</v>
      </c>
      <c r="AC11" s="8" t="n">
        <f aca="false">Assumptions!B39</f>
        <v>2000</v>
      </c>
      <c r="AD11" s="8" t="n">
        <f aca="false">Assumptions!B39</f>
        <v>2000</v>
      </c>
      <c r="AE11" s="8" t="n">
        <f aca="false">Assumptions!B39</f>
        <v>2000</v>
      </c>
      <c r="AF11" s="8" t="n">
        <f aca="false">Assumptions!B39</f>
        <v>2000</v>
      </c>
      <c r="AG11" s="8" t="n">
        <f aca="false">Assumptions!B39</f>
        <v>2000</v>
      </c>
      <c r="AH11" s="8" t="n">
        <f aca="false">Assumptions!B39</f>
        <v>2000</v>
      </c>
      <c r="AI11" s="8" t="n">
        <f aca="false">Assumptions!B39</f>
        <v>2000</v>
      </c>
      <c r="AJ11" s="8" t="n">
        <f aca="false">Assumptions!B39</f>
        <v>2000</v>
      </c>
      <c r="AK11" s="8" t="n">
        <f aca="false">Assumptions!B39</f>
        <v>2000</v>
      </c>
    </row>
    <row r="12" customFormat="false" ht="15" hidden="false" customHeight="true" outlineLevel="0" collapsed="false">
      <c r="A12" s="1" t="s">
        <v>80</v>
      </c>
      <c r="C12" s="8" t="n">
        <f aca="false">Assumptions!B40</f>
        <v>1500</v>
      </c>
      <c r="D12" s="8" t="n">
        <f aca="false">Assumptions!B40</f>
        <v>1500</v>
      </c>
      <c r="E12" s="8" t="n">
        <f aca="false">Assumptions!B40</f>
        <v>1500</v>
      </c>
      <c r="F12" s="8" t="n">
        <f aca="false">Assumptions!B40</f>
        <v>1500</v>
      </c>
      <c r="G12" s="8" t="n">
        <f aca="false">Assumptions!B40</f>
        <v>1500</v>
      </c>
      <c r="H12" s="8" t="n">
        <f aca="false">Assumptions!B40</f>
        <v>1500</v>
      </c>
      <c r="I12" s="8" t="n">
        <f aca="false">Assumptions!B40</f>
        <v>1500</v>
      </c>
      <c r="J12" s="8" t="n">
        <f aca="false">Assumptions!B40</f>
        <v>1500</v>
      </c>
      <c r="K12" s="8" t="n">
        <f aca="false">Assumptions!B40</f>
        <v>1500</v>
      </c>
      <c r="L12" s="8" t="n">
        <f aca="false">Assumptions!B40</f>
        <v>1500</v>
      </c>
      <c r="M12" s="8" t="n">
        <f aca="false">Assumptions!B40</f>
        <v>1500</v>
      </c>
      <c r="N12" s="8" t="n">
        <f aca="false">Assumptions!B40</f>
        <v>1500</v>
      </c>
      <c r="O12" s="8" t="n">
        <f aca="false">Assumptions!B40</f>
        <v>1500</v>
      </c>
      <c r="P12" s="8" t="n">
        <f aca="false">Assumptions!B40</f>
        <v>1500</v>
      </c>
      <c r="Q12" s="8" t="n">
        <f aca="false">Assumptions!B40</f>
        <v>1500</v>
      </c>
      <c r="R12" s="8" t="n">
        <f aca="false">Assumptions!B40</f>
        <v>1500</v>
      </c>
      <c r="S12" s="8" t="n">
        <f aca="false">Assumptions!B40</f>
        <v>1500</v>
      </c>
      <c r="T12" s="8" t="n">
        <f aca="false">Assumptions!B40</f>
        <v>1500</v>
      </c>
      <c r="U12" s="8" t="n">
        <f aca="false">Assumptions!B40</f>
        <v>1500</v>
      </c>
      <c r="V12" s="8" t="n">
        <f aca="false">Assumptions!B40</f>
        <v>1500</v>
      </c>
      <c r="W12" s="8" t="n">
        <f aca="false">Assumptions!B40</f>
        <v>1500</v>
      </c>
      <c r="X12" s="8" t="n">
        <f aca="false">Assumptions!B40</f>
        <v>1500</v>
      </c>
      <c r="Y12" s="8" t="n">
        <f aca="false">Assumptions!B40</f>
        <v>1500</v>
      </c>
      <c r="Z12" s="8" t="n">
        <f aca="false">Assumptions!B40</f>
        <v>1500</v>
      </c>
      <c r="AA12" s="8" t="n">
        <f aca="false">Assumptions!B40</f>
        <v>1500</v>
      </c>
      <c r="AB12" s="8" t="n">
        <f aca="false">Assumptions!B40</f>
        <v>1500</v>
      </c>
      <c r="AC12" s="8" t="n">
        <f aca="false">Assumptions!B40</f>
        <v>1500</v>
      </c>
      <c r="AD12" s="8" t="n">
        <f aca="false">Assumptions!B40</f>
        <v>1500</v>
      </c>
      <c r="AE12" s="8" t="n">
        <f aca="false">Assumptions!B40</f>
        <v>1500</v>
      </c>
      <c r="AF12" s="8" t="n">
        <f aca="false">Assumptions!B40</f>
        <v>1500</v>
      </c>
      <c r="AG12" s="8" t="n">
        <f aca="false">Assumptions!B40</f>
        <v>1500</v>
      </c>
      <c r="AH12" s="8" t="n">
        <f aca="false">Assumptions!B40</f>
        <v>1500</v>
      </c>
      <c r="AI12" s="8" t="n">
        <f aca="false">Assumptions!B40</f>
        <v>1500</v>
      </c>
      <c r="AJ12" s="8" t="n">
        <f aca="false">Assumptions!B40</f>
        <v>1500</v>
      </c>
      <c r="AK12" s="8" t="n">
        <f aca="false">Assumptions!B40</f>
        <v>1500</v>
      </c>
    </row>
    <row r="13" customFormat="false" ht="15" hidden="false" customHeight="true" outlineLevel="0" collapsed="false">
      <c r="A13" s="1" t="s">
        <v>82</v>
      </c>
      <c r="C13" s="8" t="n">
        <f aca="false">Assumptions!B41</f>
        <v>1000</v>
      </c>
      <c r="D13" s="8" t="n">
        <f aca="false">Assumptions!B41</f>
        <v>1000</v>
      </c>
      <c r="E13" s="8" t="n">
        <f aca="false">Assumptions!B41</f>
        <v>1000</v>
      </c>
      <c r="F13" s="8" t="n">
        <f aca="false">Assumptions!B41</f>
        <v>1000</v>
      </c>
      <c r="G13" s="8" t="n">
        <f aca="false">Assumptions!B41</f>
        <v>1000</v>
      </c>
      <c r="H13" s="8" t="n">
        <f aca="false">Assumptions!B41</f>
        <v>1000</v>
      </c>
      <c r="I13" s="8" t="n">
        <f aca="false">Assumptions!B41</f>
        <v>1000</v>
      </c>
      <c r="J13" s="8" t="n">
        <f aca="false">Assumptions!B41</f>
        <v>1000</v>
      </c>
      <c r="K13" s="8" t="n">
        <f aca="false">Assumptions!B41</f>
        <v>1000</v>
      </c>
      <c r="L13" s="8" t="n">
        <f aca="false">Assumptions!B41</f>
        <v>1000</v>
      </c>
      <c r="M13" s="8" t="n">
        <f aca="false">Assumptions!B41</f>
        <v>1000</v>
      </c>
      <c r="N13" s="8" t="n">
        <f aca="false">Assumptions!B41</f>
        <v>1000</v>
      </c>
      <c r="O13" s="8" t="n">
        <f aca="false">Assumptions!B41</f>
        <v>1000</v>
      </c>
      <c r="P13" s="8" t="n">
        <f aca="false">Assumptions!B41</f>
        <v>1000</v>
      </c>
      <c r="Q13" s="8" t="n">
        <f aca="false">Assumptions!B41</f>
        <v>1000</v>
      </c>
      <c r="R13" s="8" t="n">
        <f aca="false">Assumptions!B41</f>
        <v>1000</v>
      </c>
      <c r="S13" s="8" t="n">
        <f aca="false">Assumptions!B41</f>
        <v>1000</v>
      </c>
      <c r="T13" s="8" t="n">
        <f aca="false">Assumptions!B41</f>
        <v>1000</v>
      </c>
      <c r="U13" s="8" t="n">
        <f aca="false">Assumptions!B41</f>
        <v>1000</v>
      </c>
      <c r="V13" s="8" t="n">
        <f aca="false">Assumptions!B41</f>
        <v>1000</v>
      </c>
      <c r="W13" s="8" t="n">
        <f aca="false">Assumptions!B41</f>
        <v>1000</v>
      </c>
      <c r="X13" s="8" t="n">
        <f aca="false">Assumptions!B41</f>
        <v>1000</v>
      </c>
      <c r="Y13" s="8" t="n">
        <f aca="false">Assumptions!B41</f>
        <v>1000</v>
      </c>
      <c r="Z13" s="8" t="n">
        <f aca="false">Assumptions!B41</f>
        <v>1000</v>
      </c>
      <c r="AA13" s="8" t="n">
        <f aca="false">Assumptions!B41</f>
        <v>1000</v>
      </c>
      <c r="AB13" s="8" t="n">
        <f aca="false">Assumptions!B41</f>
        <v>1000</v>
      </c>
      <c r="AC13" s="8" t="n">
        <f aca="false">Assumptions!B41</f>
        <v>1000</v>
      </c>
      <c r="AD13" s="8" t="n">
        <f aca="false">Assumptions!B41</f>
        <v>1000</v>
      </c>
      <c r="AE13" s="8" t="n">
        <f aca="false">Assumptions!B41</f>
        <v>1000</v>
      </c>
      <c r="AF13" s="8" t="n">
        <f aca="false">Assumptions!B41</f>
        <v>1000</v>
      </c>
      <c r="AG13" s="8" t="n">
        <f aca="false">Assumptions!B41</f>
        <v>1000</v>
      </c>
      <c r="AH13" s="8" t="n">
        <f aca="false">Assumptions!B41</f>
        <v>1000</v>
      </c>
      <c r="AI13" s="8" t="n">
        <f aca="false">Assumptions!B41</f>
        <v>1000</v>
      </c>
      <c r="AJ13" s="8" t="n">
        <f aca="false">Assumptions!B41</f>
        <v>1000</v>
      </c>
      <c r="AK13" s="8" t="n">
        <f aca="false">Assumptions!B41</f>
        <v>1000</v>
      </c>
    </row>
    <row r="14" customFormat="false" ht="15" hidden="false" customHeight="true" outlineLevel="0" collapsed="false">
      <c r="A14" s="1" t="s">
        <v>84</v>
      </c>
      <c r="C14" s="8" t="n">
        <f aca="false">Assumptions!B42</f>
        <v>1500</v>
      </c>
      <c r="D14" s="8" t="n">
        <f aca="false">Assumptions!B42</f>
        <v>1500</v>
      </c>
      <c r="E14" s="8" t="n">
        <f aca="false">Assumptions!B42</f>
        <v>1500</v>
      </c>
      <c r="F14" s="8" t="n">
        <f aca="false">Assumptions!B42</f>
        <v>1500</v>
      </c>
      <c r="G14" s="8" t="n">
        <f aca="false">Assumptions!B42</f>
        <v>1500</v>
      </c>
      <c r="H14" s="8" t="n">
        <f aca="false">Assumptions!B42</f>
        <v>1500</v>
      </c>
      <c r="I14" s="8" t="n">
        <f aca="false">Assumptions!B42</f>
        <v>1500</v>
      </c>
      <c r="J14" s="8" t="n">
        <f aca="false">Assumptions!B42</f>
        <v>1500</v>
      </c>
      <c r="K14" s="8" t="n">
        <f aca="false">Assumptions!B42</f>
        <v>1500</v>
      </c>
      <c r="L14" s="8" t="n">
        <f aca="false">Assumptions!B42</f>
        <v>1500</v>
      </c>
      <c r="M14" s="8" t="n">
        <f aca="false">Assumptions!B42</f>
        <v>1500</v>
      </c>
      <c r="N14" s="8" t="n">
        <f aca="false">Assumptions!B42</f>
        <v>1500</v>
      </c>
      <c r="O14" s="8" t="n">
        <f aca="false">Assumptions!B42</f>
        <v>1500</v>
      </c>
      <c r="P14" s="8" t="n">
        <f aca="false">Assumptions!B42</f>
        <v>1500</v>
      </c>
      <c r="Q14" s="8" t="n">
        <f aca="false">Assumptions!B42</f>
        <v>1500</v>
      </c>
      <c r="R14" s="8" t="n">
        <f aca="false">Assumptions!B42</f>
        <v>1500</v>
      </c>
      <c r="S14" s="8" t="n">
        <f aca="false">Assumptions!B42</f>
        <v>1500</v>
      </c>
      <c r="T14" s="8" t="n">
        <f aca="false">Assumptions!B42</f>
        <v>1500</v>
      </c>
      <c r="U14" s="8" t="n">
        <f aca="false">Assumptions!B42</f>
        <v>1500</v>
      </c>
      <c r="V14" s="8" t="n">
        <f aca="false">Assumptions!B42</f>
        <v>1500</v>
      </c>
      <c r="W14" s="8" t="n">
        <f aca="false">Assumptions!B42</f>
        <v>1500</v>
      </c>
      <c r="X14" s="8" t="n">
        <f aca="false">Assumptions!B42</f>
        <v>1500</v>
      </c>
      <c r="Y14" s="8" t="n">
        <f aca="false">Assumptions!B42</f>
        <v>1500</v>
      </c>
      <c r="Z14" s="8" t="n">
        <f aca="false">Assumptions!B42</f>
        <v>1500</v>
      </c>
      <c r="AA14" s="8" t="n">
        <f aca="false">Assumptions!B42</f>
        <v>1500</v>
      </c>
      <c r="AB14" s="8" t="n">
        <f aca="false">Assumptions!B42</f>
        <v>1500</v>
      </c>
      <c r="AC14" s="8" t="n">
        <f aca="false">Assumptions!B42</f>
        <v>1500</v>
      </c>
      <c r="AD14" s="8" t="n">
        <f aca="false">Assumptions!B42</f>
        <v>1500</v>
      </c>
      <c r="AE14" s="8" t="n">
        <f aca="false">Assumptions!B42</f>
        <v>1500</v>
      </c>
      <c r="AF14" s="8" t="n">
        <f aca="false">Assumptions!B42</f>
        <v>1500</v>
      </c>
      <c r="AG14" s="8" t="n">
        <f aca="false">Assumptions!B42</f>
        <v>1500</v>
      </c>
      <c r="AH14" s="8" t="n">
        <f aca="false">Assumptions!B42</f>
        <v>1500</v>
      </c>
      <c r="AI14" s="8" t="n">
        <f aca="false">Assumptions!B42</f>
        <v>1500</v>
      </c>
      <c r="AJ14" s="8" t="n">
        <f aca="false">Assumptions!B42</f>
        <v>1500</v>
      </c>
      <c r="AK14" s="8" t="n">
        <f aca="false">Assumptions!B42</f>
        <v>1500</v>
      </c>
    </row>
    <row r="15" customFormat="false" ht="15" hidden="false" customHeight="true" outlineLevel="0" collapsed="false">
      <c r="A15" s="1" t="s">
        <v>128</v>
      </c>
      <c r="C15" s="8" t="n">
        <f aca="false">Assumptions!B45</f>
        <v>15000</v>
      </c>
      <c r="D15" s="8" t="n">
        <f aca="false">Assumptions!B45</f>
        <v>15000</v>
      </c>
      <c r="E15" s="8" t="n">
        <f aca="false">Assumptions!B45</f>
        <v>15000</v>
      </c>
      <c r="F15" s="8" t="n">
        <f aca="false">Assumptions!B45</f>
        <v>15000</v>
      </c>
      <c r="G15" s="8" t="n">
        <f aca="false">Assumptions!B45</f>
        <v>15000</v>
      </c>
      <c r="H15" s="8" t="n">
        <f aca="false">Assumptions!B45</f>
        <v>15000</v>
      </c>
      <c r="I15" s="8" t="n">
        <f aca="false">Assumptions!B45</f>
        <v>15000</v>
      </c>
      <c r="J15" s="8" t="n">
        <f aca="false">Assumptions!B45</f>
        <v>15000</v>
      </c>
      <c r="K15" s="8" t="n">
        <f aca="false">Assumptions!B45</f>
        <v>15000</v>
      </c>
      <c r="L15" s="8" t="n">
        <f aca="false">Assumptions!B45</f>
        <v>15000</v>
      </c>
      <c r="M15" s="8" t="n">
        <f aca="false">Assumptions!B45</f>
        <v>15000</v>
      </c>
      <c r="N15" s="8" t="n">
        <f aca="false">Assumptions!B45</f>
        <v>15000</v>
      </c>
      <c r="O15" s="8" t="n">
        <f aca="false">Assumptions!B45</f>
        <v>15000</v>
      </c>
      <c r="P15" s="8" t="n">
        <f aca="false">Assumptions!B45</f>
        <v>15000</v>
      </c>
      <c r="Q15" s="8" t="n">
        <f aca="false">Assumptions!B45</f>
        <v>15000</v>
      </c>
      <c r="R15" s="8" t="n">
        <f aca="false">Assumptions!B45</f>
        <v>15000</v>
      </c>
      <c r="S15" s="8" t="n">
        <f aca="false">Assumptions!B45</f>
        <v>15000</v>
      </c>
      <c r="T15" s="8" t="n">
        <f aca="false">Assumptions!B45</f>
        <v>15000</v>
      </c>
      <c r="U15" s="8" t="n">
        <f aca="false">Assumptions!B45</f>
        <v>15000</v>
      </c>
      <c r="V15" s="8" t="n">
        <f aca="false">Assumptions!B45</f>
        <v>15000</v>
      </c>
      <c r="W15" s="8" t="n">
        <f aca="false">Assumptions!B45</f>
        <v>15000</v>
      </c>
      <c r="X15" s="8" t="n">
        <f aca="false">Assumptions!B45</f>
        <v>15000</v>
      </c>
      <c r="Y15" s="8" t="n">
        <f aca="false">Assumptions!B45</f>
        <v>15000</v>
      </c>
      <c r="Z15" s="8" t="n">
        <f aca="false">Assumptions!B45</f>
        <v>15000</v>
      </c>
      <c r="AA15" s="8" t="n">
        <f aca="false">Assumptions!B45</f>
        <v>15000</v>
      </c>
      <c r="AB15" s="8" t="n">
        <f aca="false">Assumptions!B45</f>
        <v>15000</v>
      </c>
      <c r="AC15" s="8" t="n">
        <f aca="false">Assumptions!B45</f>
        <v>15000</v>
      </c>
      <c r="AD15" s="8" t="n">
        <f aca="false">Assumptions!B45</f>
        <v>15000</v>
      </c>
      <c r="AE15" s="8" t="n">
        <f aca="false">Assumptions!B45</f>
        <v>15000</v>
      </c>
      <c r="AF15" s="8" t="n">
        <f aca="false">Assumptions!B45</f>
        <v>15000</v>
      </c>
      <c r="AG15" s="8" t="n">
        <f aca="false">Assumptions!B45</f>
        <v>15000</v>
      </c>
      <c r="AH15" s="8" t="n">
        <f aca="false">Assumptions!B45</f>
        <v>15000</v>
      </c>
      <c r="AI15" s="8" t="n">
        <f aca="false">Assumptions!B45</f>
        <v>15000</v>
      </c>
      <c r="AJ15" s="8" t="n">
        <f aca="false">Assumptions!B45</f>
        <v>15000</v>
      </c>
      <c r="AK15" s="8" t="n">
        <f aca="false">Assumptions!B45</f>
        <v>15000</v>
      </c>
    </row>
    <row r="17" customFormat="false" ht="15" hidden="false" customHeight="true" outlineLevel="0" collapsed="false">
      <c r="A17" s="20" t="s">
        <v>129</v>
      </c>
      <c r="C17" s="21" t="n">
        <f aca="false">C9+C11+C12+C13+C14+C15</f>
        <v>43500</v>
      </c>
      <c r="D17" s="21" t="n">
        <f aca="false">D9+D11+D12+D13+D14+D15</f>
        <v>43500</v>
      </c>
      <c r="E17" s="21" t="n">
        <f aca="false">E9+E11+E12+E13+E14+E15</f>
        <v>43500</v>
      </c>
      <c r="F17" s="21" t="n">
        <f aca="false">F9+F11+F12+F13+F14+F15</f>
        <v>43500</v>
      </c>
      <c r="G17" s="21" t="n">
        <f aca="false">G9+G11+G12+G13+G14+G15</f>
        <v>43500</v>
      </c>
      <c r="H17" s="21" t="n">
        <f aca="false">H9+H11+H12+H13+H14+H15</f>
        <v>43500</v>
      </c>
      <c r="I17" s="21" t="n">
        <f aca="false">I9+I11+I12+I13+I14+I15</f>
        <v>56000</v>
      </c>
      <c r="J17" s="21" t="n">
        <f aca="false">J9+J11+J12+J13+J14+J15</f>
        <v>56000</v>
      </c>
      <c r="K17" s="21" t="n">
        <f aca="false">K9+K11+K12+K13+K14+K15</f>
        <v>56000</v>
      </c>
      <c r="L17" s="21" t="n">
        <f aca="false">L9+L11+L12+L13+L14+L15</f>
        <v>56000</v>
      </c>
      <c r="M17" s="21" t="n">
        <f aca="false">M9+M11+M12+M13+M14+M15</f>
        <v>56000</v>
      </c>
      <c r="N17" s="21" t="n">
        <f aca="false">N9+N11+N12+N13+N14+N15</f>
        <v>56000</v>
      </c>
      <c r="O17" s="21" t="n">
        <f aca="false">O9+O11+O12+O13+O14+O15</f>
        <v>64333.3333333333</v>
      </c>
      <c r="P17" s="21" t="n">
        <f aca="false">P9+P11+P12+P13+P14+P15</f>
        <v>64333.3333333333</v>
      </c>
      <c r="Q17" s="21" t="n">
        <f aca="false">Q9+Q11+Q12+Q13+Q14+Q15</f>
        <v>64333.3333333333</v>
      </c>
      <c r="R17" s="21" t="n">
        <f aca="false">R9+R11+R12+R13+R14+R15</f>
        <v>64333.3333333333</v>
      </c>
      <c r="S17" s="21" t="n">
        <f aca="false">S9+S11+S12+S13+S14+S15</f>
        <v>64333.3333333333</v>
      </c>
      <c r="T17" s="21" t="n">
        <f aca="false">T9+T11+T12+T13+T14+T15</f>
        <v>64333.3333333333</v>
      </c>
      <c r="U17" s="21" t="n">
        <f aca="false">U9+U11+U12+U13+U14+U15</f>
        <v>83500</v>
      </c>
      <c r="V17" s="21" t="n">
        <f aca="false">V9+V11+V12+V13+V14+V15</f>
        <v>83500</v>
      </c>
      <c r="W17" s="21" t="n">
        <f aca="false">W9+W11+W12+W13+W14+W15</f>
        <v>83500</v>
      </c>
      <c r="X17" s="21" t="n">
        <f aca="false">X9+X11+X12+X13+X14+X15</f>
        <v>83500</v>
      </c>
      <c r="Y17" s="21" t="n">
        <f aca="false">Y9+Y11+Y12+Y13+Y14+Y15</f>
        <v>83500</v>
      </c>
      <c r="Z17" s="21" t="n">
        <f aca="false">Z9+Z11+Z12+Z13+Z14+Z15</f>
        <v>83500</v>
      </c>
      <c r="AA17" s="21" t="n">
        <f aca="false">AA9+AA11+AA12+AA13+AA14+AA15</f>
        <v>91833.3333333333</v>
      </c>
      <c r="AB17" s="21" t="n">
        <f aca="false">AB9+AB11+AB12+AB13+AB14+AB15</f>
        <v>91833.3333333333</v>
      </c>
      <c r="AC17" s="21" t="n">
        <f aca="false">AC9+AC11+AC12+AC13+AC14+AC15</f>
        <v>91833.3333333333</v>
      </c>
      <c r="AD17" s="21" t="n">
        <f aca="false">AD9+AD11+AD12+AD13+AD14+AD15</f>
        <v>91833.3333333333</v>
      </c>
      <c r="AE17" s="21" t="n">
        <f aca="false">AE9+AE11+AE12+AE13+AE14+AE15</f>
        <v>91833.3333333333</v>
      </c>
      <c r="AF17" s="21" t="n">
        <f aca="false">AF9+AF11+AF12+AF13+AF14+AF15</f>
        <v>91833.3333333333</v>
      </c>
      <c r="AG17" s="21" t="n">
        <f aca="false">AG9+AG11+AG12+AG13+AG14+AG15</f>
        <v>91833.3333333333</v>
      </c>
      <c r="AH17" s="21" t="n">
        <f aca="false">AH9+AH11+AH12+AH13+AH14+AH15</f>
        <v>91833.3333333333</v>
      </c>
      <c r="AI17" s="21" t="n">
        <f aca="false">AI9+AI11+AI12+AI13+AI14+AI15</f>
        <v>91833.3333333333</v>
      </c>
      <c r="AJ17" s="21" t="n">
        <f aca="false">AJ9+AJ11+AJ12+AJ13+AJ14+AJ15</f>
        <v>91833.3333333333</v>
      </c>
      <c r="AK17" s="21" t="n">
        <f aca="false">AK9+AK11+AK12+AK13+AK14+AK15</f>
        <v>91833.3333333333</v>
      </c>
    </row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5"/>
    <col collapsed="false" customWidth="true" hidden="false" outlineLevel="0" max="12" min="2" style="1" width="12"/>
  </cols>
  <sheetData>
    <row r="1" customFormat="false" ht="17.25" hidden="false" customHeight="true" outlineLevel="0" collapsed="false">
      <c r="A1" s="12" t="s">
        <v>130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customFormat="false" ht="15" hidden="false" customHeight="true" outlineLevel="0" collapsed="false">
      <c r="A3" s="6" t="s">
        <v>19</v>
      </c>
      <c r="B3" s="17" t="s">
        <v>20</v>
      </c>
      <c r="C3" s="17" t="s">
        <v>21</v>
      </c>
      <c r="D3" s="17" t="s">
        <v>22</v>
      </c>
      <c r="E3" s="17" t="s">
        <v>23</v>
      </c>
      <c r="F3" s="17" t="s">
        <v>24</v>
      </c>
      <c r="G3" s="17" t="s">
        <v>25</v>
      </c>
      <c r="H3" s="17" t="s">
        <v>26</v>
      </c>
      <c r="I3" s="17" t="s">
        <v>27</v>
      </c>
      <c r="J3" s="17" t="s">
        <v>28</v>
      </c>
      <c r="K3" s="17" t="s">
        <v>29</v>
      </c>
      <c r="L3" s="17" t="s">
        <v>30</v>
      </c>
      <c r="M3" s="17" t="s">
        <v>31</v>
      </c>
      <c r="N3" s="18" t="s">
        <v>90</v>
      </c>
      <c r="O3" s="18" t="s">
        <v>91</v>
      </c>
      <c r="P3" s="18" t="s">
        <v>92</v>
      </c>
      <c r="Q3" s="18" t="s">
        <v>93</v>
      </c>
      <c r="R3" s="18" t="s">
        <v>94</v>
      </c>
      <c r="S3" s="18" t="s">
        <v>95</v>
      </c>
      <c r="T3" s="18" t="s">
        <v>96</v>
      </c>
      <c r="U3" s="18" t="s">
        <v>97</v>
      </c>
      <c r="V3" s="18" t="s">
        <v>98</v>
      </c>
      <c r="W3" s="18" t="s">
        <v>99</v>
      </c>
      <c r="X3" s="18" t="s">
        <v>100</v>
      </c>
      <c r="Y3" s="18" t="s">
        <v>101</v>
      </c>
      <c r="Z3" s="18" t="s">
        <v>102</v>
      </c>
      <c r="AA3" s="18" t="s">
        <v>103</v>
      </c>
      <c r="AB3" s="18" t="s">
        <v>104</v>
      </c>
      <c r="AC3" s="18" t="s">
        <v>105</v>
      </c>
      <c r="AD3" s="18" t="s">
        <v>106</v>
      </c>
      <c r="AE3" s="18" t="s">
        <v>107</v>
      </c>
      <c r="AF3" s="18" t="s">
        <v>108</v>
      </c>
      <c r="AG3" s="18" t="s">
        <v>109</v>
      </c>
      <c r="AH3" s="18" t="s">
        <v>110</v>
      </c>
      <c r="AI3" s="18" t="s">
        <v>111</v>
      </c>
      <c r="AJ3" s="18" t="s">
        <v>112</v>
      </c>
      <c r="AK3" s="18" t="s">
        <v>113</v>
      </c>
    </row>
    <row r="4" customFormat="false" ht="15" hidden="false" customHeight="true" outlineLevel="0" collapsed="false">
      <c r="A4" s="1" t="s">
        <v>131</v>
      </c>
      <c r="C4" s="8" t="n">
        <f aca="false">Assumptions!B4</f>
        <v>500000</v>
      </c>
      <c r="D4" s="8" t="n">
        <f aca="false">C8</f>
        <v>426988</v>
      </c>
      <c r="E4" s="8" t="n">
        <f aca="false">D8</f>
        <v>446852</v>
      </c>
      <c r="F4" s="8" t="n">
        <f aca="false">E8</f>
        <v>466840</v>
      </c>
      <c r="G4" s="8" t="n">
        <f aca="false">F8</f>
        <v>486952</v>
      </c>
      <c r="H4" s="8" t="n">
        <f aca="false">G8</f>
        <v>507188</v>
      </c>
      <c r="I4" s="8" t="n">
        <f aca="false">H8</f>
        <v>527549</v>
      </c>
      <c r="J4" s="8" t="n">
        <f aca="false">I8</f>
        <v>535533</v>
      </c>
      <c r="K4" s="8" t="n">
        <f aca="false">J8</f>
        <v>543641</v>
      </c>
      <c r="L4" s="8" t="n">
        <f aca="false">K8</f>
        <v>551873</v>
      </c>
      <c r="M4" s="8" t="n">
        <f aca="false">L8</f>
        <v>560229</v>
      </c>
      <c r="N4" s="8" t="n">
        <f aca="false">M8</f>
        <v>568709</v>
      </c>
      <c r="O4" s="8" t="n">
        <f aca="false">N8</f>
        <v>577314</v>
      </c>
      <c r="P4" s="8" t="n">
        <f aca="false">O8</f>
        <v>577585.666666667</v>
      </c>
      <c r="Q4" s="8" t="n">
        <f aca="false">P8</f>
        <v>577857.333333333</v>
      </c>
      <c r="R4" s="8" t="n">
        <f aca="false">Q8</f>
        <v>578129</v>
      </c>
      <c r="S4" s="8" t="n">
        <f aca="false">R8</f>
        <v>578400.666666667</v>
      </c>
      <c r="T4" s="8" t="n">
        <f aca="false">S8</f>
        <v>578672.333333333</v>
      </c>
      <c r="U4" s="8" t="n">
        <f aca="false">T8</f>
        <v>578944</v>
      </c>
      <c r="V4" s="8" t="n">
        <f aca="false">U8</f>
        <v>560049</v>
      </c>
      <c r="W4" s="8" t="n">
        <f aca="false">V8</f>
        <v>541154</v>
      </c>
      <c r="X4" s="8" t="n">
        <f aca="false">W8</f>
        <v>522259</v>
      </c>
      <c r="Y4" s="8" t="n">
        <f aca="false">X8</f>
        <v>503364</v>
      </c>
      <c r="Z4" s="8" t="n">
        <f aca="false">Y8</f>
        <v>484469</v>
      </c>
      <c r="AA4" s="8" t="n">
        <f aca="false">Z8</f>
        <v>465574</v>
      </c>
      <c r="AB4" s="8" t="n">
        <f aca="false">AA8</f>
        <v>438345.666666666</v>
      </c>
      <c r="AC4" s="8" t="n">
        <f aca="false">AB8</f>
        <v>411117.333333333</v>
      </c>
      <c r="AD4" s="8" t="n">
        <f aca="false">AC8</f>
        <v>383889</v>
      </c>
      <c r="AE4" s="8" t="n">
        <f aca="false">AD8</f>
        <v>356660.666666666</v>
      </c>
      <c r="AF4" s="8" t="n">
        <f aca="false">AE8</f>
        <v>329432.333333333</v>
      </c>
      <c r="AG4" s="8" t="n">
        <f aca="false">AF8</f>
        <v>302204</v>
      </c>
      <c r="AH4" s="8" t="n">
        <f aca="false">AG8</f>
        <v>274975.666666666</v>
      </c>
      <c r="AI4" s="8" t="n">
        <f aca="false">AH8</f>
        <v>247747.333333333</v>
      </c>
      <c r="AJ4" s="8" t="n">
        <f aca="false">AI8</f>
        <v>220518.999999999</v>
      </c>
      <c r="AK4" s="8" t="n">
        <f aca="false">AJ8</f>
        <v>193290.666666666</v>
      </c>
    </row>
    <row r="5" customFormat="false" ht="15" hidden="false" customHeight="true" outlineLevel="0" collapsed="false">
      <c r="A5" s="1" t="s">
        <v>132</v>
      </c>
      <c r="C5" s="8" t="n">
        <f aca="false">'Revenue Model'!C11</f>
        <v>-29512</v>
      </c>
      <c r="D5" s="8" t="n">
        <f aca="false">'Revenue Model'!D11</f>
        <v>63364</v>
      </c>
      <c r="E5" s="8" t="n">
        <f aca="false">'Revenue Model'!E11</f>
        <v>63488</v>
      </c>
      <c r="F5" s="8" t="n">
        <f aca="false">'Revenue Model'!F11</f>
        <v>63612</v>
      </c>
      <c r="G5" s="8" t="n">
        <f aca="false">'Revenue Model'!G11</f>
        <v>63736</v>
      </c>
      <c r="H5" s="8" t="n">
        <f aca="false">'Revenue Model'!H11</f>
        <v>63861</v>
      </c>
      <c r="I5" s="8" t="n">
        <f aca="false">'Revenue Model'!I11</f>
        <v>63984</v>
      </c>
      <c r="J5" s="8" t="n">
        <f aca="false">'Revenue Model'!J11</f>
        <v>64108</v>
      </c>
      <c r="K5" s="8" t="n">
        <f aca="false">'Revenue Model'!K11</f>
        <v>64232</v>
      </c>
      <c r="L5" s="8" t="n">
        <f aca="false">'Revenue Model'!L11</f>
        <v>64356</v>
      </c>
      <c r="M5" s="8" t="n">
        <f aca="false">'Revenue Model'!M11</f>
        <v>64480</v>
      </c>
      <c r="N5" s="8" t="n">
        <f aca="false">'Revenue Model'!N11</f>
        <v>64605</v>
      </c>
      <c r="O5" s="8" t="n">
        <f aca="false">'Revenue Model'!O11</f>
        <v>64605</v>
      </c>
      <c r="P5" s="8" t="n">
        <f aca="false">'Revenue Model'!P11</f>
        <v>64605</v>
      </c>
      <c r="Q5" s="8" t="n">
        <f aca="false">'Revenue Model'!Q11</f>
        <v>64605</v>
      </c>
      <c r="R5" s="8" t="n">
        <f aca="false">'Revenue Model'!R11</f>
        <v>64605</v>
      </c>
      <c r="S5" s="8" t="n">
        <f aca="false">'Revenue Model'!S11</f>
        <v>64605</v>
      </c>
      <c r="T5" s="8" t="n">
        <f aca="false">'Revenue Model'!T11</f>
        <v>64605</v>
      </c>
      <c r="U5" s="8" t="n">
        <f aca="false">'Revenue Model'!U11</f>
        <v>64605</v>
      </c>
      <c r="V5" s="8" t="n">
        <f aca="false">'Revenue Model'!V11</f>
        <v>64605</v>
      </c>
      <c r="W5" s="8" t="n">
        <f aca="false">'Revenue Model'!W11</f>
        <v>64605</v>
      </c>
      <c r="X5" s="8" t="n">
        <f aca="false">'Revenue Model'!X11</f>
        <v>64605</v>
      </c>
      <c r="Y5" s="8" t="n">
        <f aca="false">'Revenue Model'!Y11</f>
        <v>64605</v>
      </c>
      <c r="Z5" s="8" t="n">
        <f aca="false">'Revenue Model'!Z11</f>
        <v>64605</v>
      </c>
      <c r="AA5" s="8" t="n">
        <f aca="false">'Revenue Model'!AA11</f>
        <v>64605</v>
      </c>
      <c r="AB5" s="8" t="n">
        <f aca="false">'Revenue Model'!AB11</f>
        <v>64605</v>
      </c>
      <c r="AC5" s="8" t="n">
        <f aca="false">'Revenue Model'!AC11</f>
        <v>64605</v>
      </c>
      <c r="AD5" s="8" t="n">
        <f aca="false">'Revenue Model'!AD11</f>
        <v>64605</v>
      </c>
      <c r="AE5" s="8" t="n">
        <f aca="false">'Revenue Model'!AE11</f>
        <v>64605</v>
      </c>
      <c r="AF5" s="8" t="n">
        <f aca="false">'Revenue Model'!AF11</f>
        <v>64605</v>
      </c>
      <c r="AG5" s="8" t="n">
        <f aca="false">'Revenue Model'!AG11</f>
        <v>64605</v>
      </c>
      <c r="AH5" s="8" t="n">
        <f aca="false">'Revenue Model'!AH11</f>
        <v>64605</v>
      </c>
      <c r="AI5" s="8" t="n">
        <f aca="false">'Revenue Model'!AI11</f>
        <v>64605</v>
      </c>
      <c r="AJ5" s="8" t="n">
        <f aca="false">'Revenue Model'!AJ11</f>
        <v>64605</v>
      </c>
      <c r="AK5" s="8" t="n">
        <f aca="false">'Revenue Model'!AK11</f>
        <v>64605</v>
      </c>
    </row>
    <row r="6" customFormat="false" ht="15" hidden="false" customHeight="true" outlineLevel="0" collapsed="false">
      <c r="A6" s="1" t="s">
        <v>133</v>
      </c>
      <c r="C6" s="8" t="n">
        <f aca="false">Expenses!C17</f>
        <v>43500</v>
      </c>
      <c r="D6" s="8" t="n">
        <f aca="false">Expenses!D17</f>
        <v>43500</v>
      </c>
      <c r="E6" s="8" t="n">
        <f aca="false">Expenses!E17</f>
        <v>43500</v>
      </c>
      <c r="F6" s="8" t="n">
        <f aca="false">Expenses!F17</f>
        <v>43500</v>
      </c>
      <c r="G6" s="8" t="n">
        <f aca="false">Expenses!G17</f>
        <v>43500</v>
      </c>
      <c r="H6" s="8" t="n">
        <f aca="false">Expenses!H17</f>
        <v>43500</v>
      </c>
      <c r="I6" s="8" t="n">
        <f aca="false">Expenses!I17</f>
        <v>56000</v>
      </c>
      <c r="J6" s="8" t="n">
        <f aca="false">Expenses!J17</f>
        <v>56000</v>
      </c>
      <c r="K6" s="8" t="n">
        <f aca="false">Expenses!K17</f>
        <v>56000</v>
      </c>
      <c r="L6" s="8" t="n">
        <f aca="false">Expenses!L17</f>
        <v>56000</v>
      </c>
      <c r="M6" s="8" t="n">
        <f aca="false">Expenses!M17</f>
        <v>56000</v>
      </c>
      <c r="N6" s="8" t="n">
        <f aca="false">Expenses!N17</f>
        <v>56000</v>
      </c>
      <c r="O6" s="8" t="n">
        <f aca="false">Expenses!O17</f>
        <v>64333.3333333333</v>
      </c>
      <c r="P6" s="8" t="n">
        <f aca="false">Expenses!P17</f>
        <v>64333.3333333333</v>
      </c>
      <c r="Q6" s="8" t="n">
        <f aca="false">Expenses!Q17</f>
        <v>64333.3333333333</v>
      </c>
      <c r="R6" s="8" t="n">
        <f aca="false">Expenses!R17</f>
        <v>64333.3333333333</v>
      </c>
      <c r="S6" s="8" t="n">
        <f aca="false">Expenses!S17</f>
        <v>64333.3333333333</v>
      </c>
      <c r="T6" s="8" t="n">
        <f aca="false">Expenses!T17</f>
        <v>64333.3333333333</v>
      </c>
      <c r="U6" s="8" t="n">
        <f aca="false">Expenses!U17</f>
        <v>83500</v>
      </c>
      <c r="V6" s="8" t="n">
        <f aca="false">Expenses!V17</f>
        <v>83500</v>
      </c>
      <c r="W6" s="8" t="n">
        <f aca="false">Expenses!W17</f>
        <v>83500</v>
      </c>
      <c r="X6" s="8" t="n">
        <f aca="false">Expenses!X17</f>
        <v>83500</v>
      </c>
      <c r="Y6" s="8" t="n">
        <f aca="false">Expenses!Y17</f>
        <v>83500</v>
      </c>
      <c r="Z6" s="8" t="n">
        <f aca="false">Expenses!Z17</f>
        <v>83500</v>
      </c>
      <c r="AA6" s="8" t="n">
        <f aca="false">Expenses!AA17</f>
        <v>91833.3333333333</v>
      </c>
      <c r="AB6" s="8" t="n">
        <f aca="false">Expenses!AB17</f>
        <v>91833.3333333333</v>
      </c>
      <c r="AC6" s="8" t="n">
        <f aca="false">Expenses!AC17</f>
        <v>91833.3333333333</v>
      </c>
      <c r="AD6" s="8" t="n">
        <f aca="false">Expenses!AD17</f>
        <v>91833.3333333333</v>
      </c>
      <c r="AE6" s="8" t="n">
        <f aca="false">Expenses!AE17</f>
        <v>91833.3333333333</v>
      </c>
      <c r="AF6" s="8" t="n">
        <f aca="false">Expenses!AF17</f>
        <v>91833.3333333333</v>
      </c>
      <c r="AG6" s="8" t="n">
        <f aca="false">Expenses!AG17</f>
        <v>91833.3333333333</v>
      </c>
      <c r="AH6" s="8" t="n">
        <f aca="false">Expenses!AH17</f>
        <v>91833.3333333333</v>
      </c>
      <c r="AI6" s="8" t="n">
        <f aca="false">Expenses!AI17</f>
        <v>91833.3333333333</v>
      </c>
      <c r="AJ6" s="8" t="n">
        <f aca="false">Expenses!AJ17</f>
        <v>91833.3333333333</v>
      </c>
      <c r="AK6" s="8" t="n">
        <f aca="false">Expenses!AK17</f>
        <v>91833.3333333333</v>
      </c>
    </row>
    <row r="7" customFormat="false" ht="15" hidden="false" customHeight="true" outlineLevel="0" collapsed="false">
      <c r="A7" s="1" t="s">
        <v>134</v>
      </c>
      <c r="C7" s="8" t="n">
        <f aca="false">C5-C6</f>
        <v>-73012</v>
      </c>
      <c r="D7" s="8" t="n">
        <f aca="false">D5-D6</f>
        <v>19864</v>
      </c>
      <c r="E7" s="8" t="n">
        <f aca="false">E5-E6</f>
        <v>19988</v>
      </c>
      <c r="F7" s="8" t="n">
        <f aca="false">F5-F6</f>
        <v>20112</v>
      </c>
      <c r="G7" s="8" t="n">
        <f aca="false">G5-G6</f>
        <v>20236</v>
      </c>
      <c r="H7" s="8" t="n">
        <f aca="false">H5-H6</f>
        <v>20361</v>
      </c>
      <c r="I7" s="8" t="n">
        <f aca="false">I5-I6</f>
        <v>7984</v>
      </c>
      <c r="J7" s="8" t="n">
        <f aca="false">J5-J6</f>
        <v>8108</v>
      </c>
      <c r="K7" s="8" t="n">
        <f aca="false">K5-K6</f>
        <v>8232</v>
      </c>
      <c r="L7" s="8" t="n">
        <f aca="false">L5-L6</f>
        <v>8356</v>
      </c>
      <c r="M7" s="8" t="n">
        <f aca="false">M5-M6</f>
        <v>8480</v>
      </c>
      <c r="N7" s="8" t="n">
        <f aca="false">N5-N6</f>
        <v>8605</v>
      </c>
      <c r="O7" s="8" t="n">
        <f aca="false">O5-O6</f>
        <v>271.666666666664</v>
      </c>
      <c r="P7" s="8" t="n">
        <f aca="false">P5-P6</f>
        <v>271.666666666664</v>
      </c>
      <c r="Q7" s="8" t="n">
        <f aca="false">Q5-Q6</f>
        <v>271.666666666664</v>
      </c>
      <c r="R7" s="8" t="n">
        <f aca="false">R5-R6</f>
        <v>271.666666666664</v>
      </c>
      <c r="S7" s="8" t="n">
        <f aca="false">S5-S6</f>
        <v>271.666666666664</v>
      </c>
      <c r="T7" s="8" t="n">
        <f aca="false">T5-T6</f>
        <v>271.666666666664</v>
      </c>
      <c r="U7" s="8" t="n">
        <f aca="false">U5-U6</f>
        <v>-18895</v>
      </c>
      <c r="V7" s="8" t="n">
        <f aca="false">V5-V6</f>
        <v>-18895</v>
      </c>
      <c r="W7" s="8" t="n">
        <f aca="false">W5-W6</f>
        <v>-18895</v>
      </c>
      <c r="X7" s="8" t="n">
        <f aca="false">X5-X6</f>
        <v>-18895</v>
      </c>
      <c r="Y7" s="8" t="n">
        <f aca="false">Y5-Y6</f>
        <v>-18895</v>
      </c>
      <c r="Z7" s="8" t="n">
        <f aca="false">Z5-Z6</f>
        <v>-18895</v>
      </c>
      <c r="AA7" s="8" t="n">
        <f aca="false">AA5-AA6</f>
        <v>-27228.3333333333</v>
      </c>
      <c r="AB7" s="8" t="n">
        <f aca="false">AB5-AB6</f>
        <v>-27228.3333333333</v>
      </c>
      <c r="AC7" s="8" t="n">
        <f aca="false">AC5-AC6</f>
        <v>-27228.3333333333</v>
      </c>
      <c r="AD7" s="8" t="n">
        <f aca="false">AD5-AD6</f>
        <v>-27228.3333333333</v>
      </c>
      <c r="AE7" s="8" t="n">
        <f aca="false">AE5-AE6</f>
        <v>-27228.3333333333</v>
      </c>
      <c r="AF7" s="8" t="n">
        <f aca="false">AF5-AF6</f>
        <v>-27228.3333333333</v>
      </c>
      <c r="AG7" s="8" t="n">
        <f aca="false">AG5-AG6</f>
        <v>-27228.3333333333</v>
      </c>
      <c r="AH7" s="8" t="n">
        <f aca="false">AH5-AH6</f>
        <v>-27228.3333333333</v>
      </c>
      <c r="AI7" s="8" t="n">
        <f aca="false">AI5-AI6</f>
        <v>-27228.3333333333</v>
      </c>
      <c r="AJ7" s="8" t="n">
        <f aca="false">AJ5-AJ6</f>
        <v>-27228.3333333333</v>
      </c>
      <c r="AK7" s="8" t="n">
        <f aca="false">AK5-AK6</f>
        <v>-27228.3333333333</v>
      </c>
    </row>
    <row r="8" customFormat="false" ht="15" hidden="false" customHeight="true" outlineLevel="0" collapsed="false">
      <c r="A8" s="1" t="s">
        <v>135</v>
      </c>
      <c r="C8" s="8" t="n">
        <f aca="false">Assumptions!B4+C7</f>
        <v>426988</v>
      </c>
      <c r="D8" s="8" t="n">
        <f aca="false">C8+D7</f>
        <v>446852</v>
      </c>
      <c r="E8" s="8" t="n">
        <f aca="false">D8+E7</f>
        <v>466840</v>
      </c>
      <c r="F8" s="8" t="n">
        <f aca="false">E8+F7</f>
        <v>486952</v>
      </c>
      <c r="G8" s="8" t="n">
        <f aca="false">F8+G7</f>
        <v>507188</v>
      </c>
      <c r="H8" s="8" t="n">
        <f aca="false">G8+H7</f>
        <v>527549</v>
      </c>
      <c r="I8" s="8" t="n">
        <f aca="false">H8+I7</f>
        <v>535533</v>
      </c>
      <c r="J8" s="8" t="n">
        <f aca="false">I8+J7</f>
        <v>543641</v>
      </c>
      <c r="K8" s="8" t="n">
        <f aca="false">J8+K7</f>
        <v>551873</v>
      </c>
      <c r="L8" s="8" t="n">
        <f aca="false">K8+L7</f>
        <v>560229</v>
      </c>
      <c r="M8" s="8" t="n">
        <f aca="false">L8+M7</f>
        <v>568709</v>
      </c>
      <c r="N8" s="8" t="n">
        <f aca="false">M8+N7</f>
        <v>577314</v>
      </c>
      <c r="O8" s="8" t="n">
        <f aca="false">N8+O7</f>
        <v>577585.666666667</v>
      </c>
      <c r="P8" s="8" t="n">
        <f aca="false">O8+P7</f>
        <v>577857.333333333</v>
      </c>
      <c r="Q8" s="8" t="n">
        <f aca="false">P8+Q7</f>
        <v>578129</v>
      </c>
      <c r="R8" s="8" t="n">
        <f aca="false">Q8+R7</f>
        <v>578400.666666667</v>
      </c>
      <c r="S8" s="8" t="n">
        <f aca="false">R8+S7</f>
        <v>578672.333333333</v>
      </c>
      <c r="T8" s="8" t="n">
        <f aca="false">S8+T7</f>
        <v>578944</v>
      </c>
      <c r="U8" s="8" t="n">
        <f aca="false">T8+U7</f>
        <v>560049</v>
      </c>
      <c r="V8" s="8" t="n">
        <f aca="false">U8+V7</f>
        <v>541154</v>
      </c>
      <c r="W8" s="8" t="n">
        <f aca="false">V8+W7</f>
        <v>522259</v>
      </c>
      <c r="X8" s="8" t="n">
        <f aca="false">W8+X7</f>
        <v>503364</v>
      </c>
      <c r="Y8" s="8" t="n">
        <f aca="false">X8+Y7</f>
        <v>484469</v>
      </c>
      <c r="Z8" s="8" t="n">
        <f aca="false">Y8+Z7</f>
        <v>465574</v>
      </c>
      <c r="AA8" s="8" t="n">
        <f aca="false">Z8+AA7</f>
        <v>438345.666666666</v>
      </c>
      <c r="AB8" s="8" t="n">
        <f aca="false">AA8+AB7</f>
        <v>411117.333333333</v>
      </c>
      <c r="AC8" s="8" t="n">
        <f aca="false">AB8+AC7</f>
        <v>383889</v>
      </c>
      <c r="AD8" s="8" t="n">
        <f aca="false">AC8+AD7</f>
        <v>356660.666666666</v>
      </c>
      <c r="AE8" s="8" t="n">
        <f aca="false">AD8+AE7</f>
        <v>329432.333333333</v>
      </c>
      <c r="AF8" s="8" t="n">
        <f aca="false">AE8+AF7</f>
        <v>302204</v>
      </c>
      <c r="AG8" s="8" t="n">
        <f aca="false">AF8+AG7</f>
        <v>274975.666666666</v>
      </c>
      <c r="AH8" s="8" t="n">
        <f aca="false">AG8+AH7</f>
        <v>247747.333333333</v>
      </c>
      <c r="AI8" s="8" t="n">
        <f aca="false">AH8+AI7</f>
        <v>220518.999999999</v>
      </c>
      <c r="AJ8" s="8" t="n">
        <f aca="false">AI8+AJ7</f>
        <v>193290.666666666</v>
      </c>
      <c r="AK8" s="8" t="n">
        <f aca="false">AJ8+AK7</f>
        <v>166062.333333333</v>
      </c>
    </row>
    <row r="10" customFormat="false" ht="15" hidden="false" customHeight="true" outlineLevel="0" collapsed="false">
      <c r="A10" s="1" t="s">
        <v>12</v>
      </c>
      <c r="C10" s="8" t="n">
        <f aca="false">-C7</f>
        <v>73012</v>
      </c>
      <c r="D10" s="8" t="n">
        <f aca="false">-D7</f>
        <v>-19864</v>
      </c>
      <c r="E10" s="8" t="n">
        <f aca="false">-E7</f>
        <v>-19988</v>
      </c>
      <c r="F10" s="8" t="n">
        <f aca="false">-F7</f>
        <v>-20112</v>
      </c>
      <c r="G10" s="8" t="n">
        <f aca="false">-G7</f>
        <v>-20236</v>
      </c>
      <c r="H10" s="8" t="n">
        <f aca="false">-H7</f>
        <v>-20361</v>
      </c>
      <c r="I10" s="8" t="n">
        <f aca="false">-I7</f>
        <v>-7984</v>
      </c>
      <c r="J10" s="8" t="n">
        <f aca="false">-J7</f>
        <v>-8108</v>
      </c>
      <c r="K10" s="8" t="n">
        <f aca="false">-K7</f>
        <v>-8232</v>
      </c>
      <c r="L10" s="8" t="n">
        <f aca="false">-L7</f>
        <v>-8356</v>
      </c>
      <c r="M10" s="8" t="n">
        <f aca="false">-M7</f>
        <v>-8480</v>
      </c>
      <c r="N10" s="8" t="n">
        <f aca="false">-N7</f>
        <v>-8605</v>
      </c>
      <c r="O10" s="8" t="n">
        <f aca="false">-O7</f>
        <v>-271.666666666664</v>
      </c>
      <c r="P10" s="8" t="n">
        <f aca="false">-P7</f>
        <v>-271.666666666664</v>
      </c>
      <c r="Q10" s="8" t="n">
        <f aca="false">-Q7</f>
        <v>-271.666666666664</v>
      </c>
      <c r="R10" s="8" t="n">
        <f aca="false">-R7</f>
        <v>-271.666666666664</v>
      </c>
      <c r="S10" s="8" t="n">
        <f aca="false">-S7</f>
        <v>-271.666666666664</v>
      </c>
      <c r="T10" s="8" t="n">
        <f aca="false">-T7</f>
        <v>-271.666666666664</v>
      </c>
      <c r="U10" s="8" t="n">
        <f aca="false">-U7</f>
        <v>18895</v>
      </c>
      <c r="V10" s="8" t="n">
        <f aca="false">-V7</f>
        <v>18895</v>
      </c>
      <c r="W10" s="8" t="n">
        <f aca="false">-W7</f>
        <v>18895</v>
      </c>
      <c r="X10" s="8" t="n">
        <f aca="false">-X7</f>
        <v>18895</v>
      </c>
      <c r="Y10" s="8" t="n">
        <f aca="false">-Y7</f>
        <v>18895</v>
      </c>
      <c r="Z10" s="8" t="n">
        <f aca="false">-Z7</f>
        <v>18895</v>
      </c>
      <c r="AA10" s="8" t="n">
        <f aca="false">-AA7</f>
        <v>27228.3333333333</v>
      </c>
      <c r="AB10" s="8" t="n">
        <f aca="false">-AB7</f>
        <v>27228.3333333333</v>
      </c>
      <c r="AC10" s="8" t="n">
        <f aca="false">-AC7</f>
        <v>27228.3333333333</v>
      </c>
      <c r="AD10" s="8" t="n">
        <f aca="false">-AD7</f>
        <v>27228.3333333333</v>
      </c>
      <c r="AE10" s="8" t="n">
        <f aca="false">-AE7</f>
        <v>27228.3333333333</v>
      </c>
      <c r="AF10" s="8" t="n">
        <f aca="false">-AF7</f>
        <v>27228.3333333333</v>
      </c>
      <c r="AG10" s="8" t="n">
        <f aca="false">-AG7</f>
        <v>27228.3333333333</v>
      </c>
      <c r="AH10" s="8" t="n">
        <f aca="false">-AH7</f>
        <v>27228.3333333333</v>
      </c>
      <c r="AI10" s="8" t="n">
        <f aca="false">-AI7</f>
        <v>27228.3333333333</v>
      </c>
      <c r="AJ10" s="8" t="n">
        <f aca="false">-AJ7</f>
        <v>27228.3333333333</v>
      </c>
      <c r="AK10" s="8" t="n">
        <f aca="false">-AK7</f>
        <v>27228.3333333333</v>
      </c>
    </row>
    <row r="11" customFormat="false" ht="15" hidden="false" customHeight="true" outlineLevel="0" collapsed="false">
      <c r="A11" s="1" t="s">
        <v>136</v>
      </c>
      <c r="C11" s="19" t="n">
        <f aca="false">IFERROR(IF(C8&lt;0,0,C8/(C10+0.01)),0)</f>
        <v>5.84818853774879</v>
      </c>
      <c r="D11" s="19" t="n">
        <f aca="false">IFERROR(IF(D8&lt;0,0,D8/(D10+0.01)),0)</f>
        <v>-22.4955811999503</v>
      </c>
      <c r="E11" s="19" t="n">
        <f aca="false">IFERROR(IF(E8&lt;0,0,E8/(E10+0.01)),0)</f>
        <v>-23.3560252931886</v>
      </c>
      <c r="F11" s="19" t="n">
        <f aca="false">IFERROR(IF(F8&lt;0,0,F8/(F10+0.01)),0)</f>
        <v>-24.2120247673154</v>
      </c>
      <c r="G11" s="19" t="n">
        <f aca="false">IFERROR(IF(G8&lt;0,0,G8/(G10+0.01)),0)</f>
        <v>-25.0636613281584</v>
      </c>
      <c r="H11" s="19" t="n">
        <f aca="false">IFERROR(IF(H8&lt;0,0,H8/(H10+0.01)),0)</f>
        <v>-25.9097912233148</v>
      </c>
      <c r="I11" s="19" t="n">
        <f aca="false">IFERROR(IF(I8&lt;0,0,I8/(I10+0.01)),0)</f>
        <v>-67.0758605659576</v>
      </c>
      <c r="J11" s="19" t="n">
        <f aca="false">IFERROR(IF(J8&lt;0,0,J8/(J10+0.01)),0)</f>
        <v>-67.0500333621527</v>
      </c>
      <c r="K11" s="19" t="n">
        <f aca="false">IFERROR(IF(K8&lt;0,0,K8/(K10+0.01)),0)</f>
        <v>-67.0400474247418</v>
      </c>
      <c r="L11" s="19" t="n">
        <f aca="false">IFERROR(IF(L8&lt;0,0,L8/(L10+0.01)),0)</f>
        <v>-67.0451975169908</v>
      </c>
      <c r="M11" s="19" t="n">
        <f aca="false">IFERROR(IF(M8&lt;0,0,M8/(M10+0.01)),0)</f>
        <v>-67.06481965191</v>
      </c>
      <c r="N11" s="19" t="n">
        <f aca="false">IFERROR(IF(N8&lt;0,0,N8/(N10+0.01)),0)</f>
        <v>-67.0906067293512</v>
      </c>
      <c r="O11" s="19" t="n">
        <f aca="false">IFERROR(IF(O8&lt;0,0,O8/(O10+0.01)),0)</f>
        <v>-2126.16047216464</v>
      </c>
      <c r="P11" s="19" t="n">
        <f aca="false">IFERROR(IF(P8&lt;0,0,P8/(P10+0.01)),0)</f>
        <v>-2127.16050897581</v>
      </c>
      <c r="Q11" s="19" t="n">
        <f aca="false">IFERROR(IF(Q8&lt;0,0,Q8/(Q10+0.01)),0)</f>
        <v>-2128.16054578698</v>
      </c>
      <c r="R11" s="19" t="n">
        <f aca="false">IFERROR(IF(R8&lt;0,0,R8/(R10+0.01)),0)</f>
        <v>-2129.16058259815</v>
      </c>
      <c r="S11" s="19" t="n">
        <f aca="false">IFERROR(IF(S8&lt;0,0,S8/(S10+0.01)),0)</f>
        <v>-2130.16061940932</v>
      </c>
      <c r="T11" s="19" t="n">
        <f aca="false">IFERROR(IF(T8&lt;0,0,T8/(T10+0.01)),0)</f>
        <v>-2131.16065622049</v>
      </c>
      <c r="U11" s="19" t="n">
        <f aca="false">IFERROR(IF(U8&lt;0,0,U8/(U10+0.01)),0)</f>
        <v>29.6400478221499</v>
      </c>
      <c r="V11" s="19" t="n">
        <f aca="false">IFERROR(IF(V8&lt;0,0,V8/(V10+0.01)),0)</f>
        <v>28.6400483513901</v>
      </c>
      <c r="W11" s="19" t="n">
        <f aca="false">IFERROR(IF(W8&lt;0,0,W8/(W10+0.01)),0)</f>
        <v>27.6400488806304</v>
      </c>
      <c r="X11" s="19" t="n">
        <f aca="false">IFERROR(IF(X8&lt;0,0,X8/(X10+0.01)),0)</f>
        <v>26.6400494098706</v>
      </c>
      <c r="Y11" s="19" t="n">
        <f aca="false">IFERROR(IF(Y8&lt;0,0,Y8/(Y10+0.01)),0)</f>
        <v>25.6400499391109</v>
      </c>
      <c r="Z11" s="19" t="n">
        <f aca="false">IFERROR(IF(Z8&lt;0,0,Z8/(Z10+0.01)),0)</f>
        <v>24.6400504683512</v>
      </c>
      <c r="AA11" s="19" t="n">
        <f aca="false">IFERROR(IF(AA8&lt;0,0,AA8/(AA10+0.01)),0)</f>
        <v>16.0988739307557</v>
      </c>
      <c r="AB11" s="19" t="n">
        <f aca="false">IFERROR(IF(AB8&lt;0,0,AB8/(AB10+0.01)),0)</f>
        <v>15.0988742980201</v>
      </c>
      <c r="AC11" s="19" t="n">
        <f aca="false">IFERROR(IF(AC8&lt;0,0,AC8/(AC10+0.01)),0)</f>
        <v>14.0988746652844</v>
      </c>
      <c r="AD11" s="19" t="n">
        <f aca="false">IFERROR(IF(AD8&lt;0,0,AD8/(AD10+0.01)),0)</f>
        <v>13.0988750325488</v>
      </c>
      <c r="AE11" s="19" t="n">
        <f aca="false">IFERROR(IF(AE8&lt;0,0,AE8/(AE10+0.01)),0)</f>
        <v>12.0988753998131</v>
      </c>
      <c r="AF11" s="19" t="n">
        <f aca="false">IFERROR(IF(AF8&lt;0,0,AF8/(AF10+0.01)),0)</f>
        <v>11.0988757670775</v>
      </c>
      <c r="AG11" s="19" t="n">
        <f aca="false">IFERROR(IF(AG8&lt;0,0,AG8/(AG10+0.01)),0)</f>
        <v>10.0988761343419</v>
      </c>
      <c r="AH11" s="19" t="n">
        <f aca="false">IFERROR(IF(AH8&lt;0,0,AH8/(AH10+0.01)),0)</f>
        <v>9.09887650160621</v>
      </c>
      <c r="AI11" s="19" t="n">
        <f aca="false">IFERROR(IF(AI8&lt;0,0,AI8/(AI10+0.01)),0)</f>
        <v>8.09887686887057</v>
      </c>
      <c r="AJ11" s="19" t="n">
        <f aca="false">IFERROR(IF(AJ8&lt;0,0,AJ8/(AJ10+0.01)),0)</f>
        <v>7.09887723613492</v>
      </c>
      <c r="AK11" s="19" t="n">
        <f aca="false">IFERROR(IF(AK8&lt;0,0,AK8/(AK10+0.01)),0)</f>
        <v>6.09887760339928</v>
      </c>
    </row>
    <row r="12" customFormat="false" ht="15" hidden="false" customHeight="true" outlineLevel="0" collapsed="false">
      <c r="A12" s="1" t="s">
        <v>137</v>
      </c>
      <c r="C12" s="11" t="str">
        <f aca="false">IF(C7&gt;0,"YES","NO")</f>
        <v>NO</v>
      </c>
      <c r="D12" s="11" t="str">
        <f aca="false">IF(D7&gt;0,"YES","NO")</f>
        <v>YES</v>
      </c>
      <c r="E12" s="11" t="str">
        <f aca="false">IF(E7&gt;0,"YES","NO")</f>
        <v>YES</v>
      </c>
      <c r="F12" s="11" t="str">
        <f aca="false">IF(F7&gt;0,"YES","NO")</f>
        <v>YES</v>
      </c>
      <c r="G12" s="11" t="str">
        <f aca="false">IF(G7&gt;0,"YES","NO")</f>
        <v>YES</v>
      </c>
      <c r="H12" s="11" t="str">
        <f aca="false">IF(H7&gt;0,"YES","NO")</f>
        <v>YES</v>
      </c>
      <c r="I12" s="11" t="str">
        <f aca="false">IF(I7&gt;0,"YES","NO")</f>
        <v>YES</v>
      </c>
      <c r="J12" s="11" t="str">
        <f aca="false">IF(J7&gt;0,"YES","NO")</f>
        <v>YES</v>
      </c>
      <c r="K12" s="11" t="str">
        <f aca="false">IF(K7&gt;0,"YES","NO")</f>
        <v>YES</v>
      </c>
      <c r="L12" s="11" t="str">
        <f aca="false">IF(L7&gt;0,"YES","NO")</f>
        <v>YES</v>
      </c>
      <c r="M12" s="11" t="str">
        <f aca="false">IF(M7&gt;0,"YES","NO")</f>
        <v>YES</v>
      </c>
      <c r="N12" s="11" t="str">
        <f aca="false">IF(N7&gt;0,"YES","NO")</f>
        <v>YES</v>
      </c>
      <c r="O12" s="11" t="str">
        <f aca="false">IF(O7&gt;0,"YES","NO")</f>
        <v>YES</v>
      </c>
      <c r="P12" s="11" t="str">
        <f aca="false">IF(P7&gt;0,"YES","NO")</f>
        <v>YES</v>
      </c>
      <c r="Q12" s="11" t="str">
        <f aca="false">IF(Q7&gt;0,"YES","NO")</f>
        <v>YES</v>
      </c>
      <c r="R12" s="11" t="str">
        <f aca="false">IF(R7&gt;0,"YES","NO")</f>
        <v>YES</v>
      </c>
      <c r="S12" s="11" t="str">
        <f aca="false">IF(S7&gt;0,"YES","NO")</f>
        <v>YES</v>
      </c>
      <c r="T12" s="11" t="str">
        <f aca="false">IF(T7&gt;0,"YES","NO")</f>
        <v>YES</v>
      </c>
      <c r="U12" s="11" t="str">
        <f aca="false">IF(U7&gt;0,"YES","NO")</f>
        <v>NO</v>
      </c>
      <c r="V12" s="11" t="str">
        <f aca="false">IF(V7&gt;0,"YES","NO")</f>
        <v>NO</v>
      </c>
      <c r="W12" s="11" t="str">
        <f aca="false">IF(W7&gt;0,"YES","NO")</f>
        <v>NO</v>
      </c>
      <c r="X12" s="11" t="str">
        <f aca="false">IF(X7&gt;0,"YES","NO")</f>
        <v>NO</v>
      </c>
      <c r="Y12" s="11" t="str">
        <f aca="false">IF(Y7&gt;0,"YES","NO")</f>
        <v>NO</v>
      </c>
      <c r="Z12" s="11" t="str">
        <f aca="false">IF(Z7&gt;0,"YES","NO")</f>
        <v>NO</v>
      </c>
      <c r="AA12" s="11" t="str">
        <f aca="false">IF(AA7&gt;0,"YES","NO")</f>
        <v>NO</v>
      </c>
      <c r="AB12" s="11" t="str">
        <f aca="false">IF(AB7&gt;0,"YES","NO")</f>
        <v>NO</v>
      </c>
      <c r="AC12" s="11" t="str">
        <f aca="false">IF(AC7&gt;0,"YES","NO")</f>
        <v>NO</v>
      </c>
      <c r="AD12" s="11" t="str">
        <f aca="false">IF(AD7&gt;0,"YES","NO")</f>
        <v>NO</v>
      </c>
      <c r="AE12" s="11" t="str">
        <f aca="false">IF(AE7&gt;0,"YES","NO")</f>
        <v>NO</v>
      </c>
      <c r="AF12" s="11" t="str">
        <f aca="false">IF(AF7&gt;0,"YES","NO")</f>
        <v>NO</v>
      </c>
      <c r="AG12" s="11" t="str">
        <f aca="false">IF(AG7&gt;0,"YES","NO")</f>
        <v>NO</v>
      </c>
      <c r="AH12" s="11" t="str">
        <f aca="false">IF(AH7&gt;0,"YES","NO")</f>
        <v>NO</v>
      </c>
      <c r="AI12" s="11" t="str">
        <f aca="false">IF(AI7&gt;0,"YES","NO")</f>
        <v>NO</v>
      </c>
      <c r="AJ12" s="11" t="str">
        <f aca="false">IF(AJ7&gt;0,"YES","NO")</f>
        <v>NO</v>
      </c>
      <c r="AK12" s="11" t="str">
        <f aca="false">IF(AK7&gt;0,"YES","NO")</f>
        <v>NO</v>
      </c>
    </row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20"/>
    <col collapsed="false" customWidth="true" hidden="false" outlineLevel="0" max="3" min="3" style="1" width="25"/>
    <col collapsed="false" customWidth="true" hidden="false" outlineLevel="0" max="4" min="4" style="1" width="20"/>
  </cols>
  <sheetData>
    <row r="1" customFormat="false" ht="17.25" hidden="false" customHeight="true" outlineLevel="0" collapsed="false">
      <c r="A1" s="12" t="s">
        <v>138</v>
      </c>
      <c r="B1" s="12"/>
      <c r="C1" s="12"/>
      <c r="D1" s="12"/>
    </row>
    <row r="3" customFormat="false" ht="15" hidden="false" customHeight="true" outlineLevel="0" collapsed="false">
      <c r="A3" s="6" t="s">
        <v>139</v>
      </c>
      <c r="B3" s="6"/>
      <c r="C3" s="6"/>
      <c r="D3" s="6"/>
    </row>
    <row r="4" customFormat="false" ht="15" hidden="false" customHeight="true" outlineLevel="0" collapsed="false">
      <c r="A4" s="1" t="s">
        <v>58</v>
      </c>
      <c r="B4" s="1" t="s">
        <v>140</v>
      </c>
      <c r="C4" s="1" t="s">
        <v>60</v>
      </c>
      <c r="D4" s="1" t="s">
        <v>141</v>
      </c>
    </row>
    <row r="5" customFormat="false" ht="15" hidden="false" customHeight="true" outlineLevel="0" collapsed="false">
      <c r="A5" s="1" t="s">
        <v>61</v>
      </c>
      <c r="B5" s="8" t="n">
        <f aca="false">Assumptions!B45*Assumptions!C25</f>
        <v>3000</v>
      </c>
      <c r="C5" s="9" t="n">
        <f aca="false">Assumptions!C25</f>
        <v>0.2</v>
      </c>
      <c r="D5" s="8" t="n">
        <f aca="false">Assumptions!B25</f>
        <v>40</v>
      </c>
    </row>
    <row r="6" customFormat="false" ht="15" hidden="false" customHeight="true" outlineLevel="0" collapsed="false">
      <c r="A6" s="1" t="s">
        <v>62</v>
      </c>
      <c r="B6" s="8" t="n">
        <f aca="false">Assumptions!B45*Assumptions!C26</f>
        <v>0</v>
      </c>
      <c r="C6" s="9" t="n">
        <f aca="false">Assumptions!C26</f>
        <v>0</v>
      </c>
      <c r="D6" s="8" t="n">
        <f aca="false">Assumptions!B26</f>
        <v>0</v>
      </c>
    </row>
    <row r="7" customFormat="false" ht="15" hidden="false" customHeight="true" outlineLevel="0" collapsed="false">
      <c r="A7" s="1" t="s">
        <v>63</v>
      </c>
      <c r="B7" s="8" t="n">
        <f aca="false">Assumptions!B45*Assumptions!C27</f>
        <v>0</v>
      </c>
      <c r="C7" s="9" t="n">
        <f aca="false">Assumptions!C27</f>
        <v>0</v>
      </c>
      <c r="D7" s="8" t="n">
        <f aca="false">Assumptions!B27</f>
        <v>0</v>
      </c>
    </row>
    <row r="8" customFormat="false" ht="15" hidden="false" customHeight="true" outlineLevel="0" collapsed="false">
      <c r="A8" s="1" t="s">
        <v>142</v>
      </c>
      <c r="B8" s="21" t="n">
        <f aca="false">IFERROR(Assumptions!B45/('Revenue Model'!B5+1),0)</f>
        <v>15000</v>
      </c>
    </row>
    <row r="10" customFormat="false" ht="15" hidden="false" customHeight="true" outlineLevel="0" collapsed="false">
      <c r="A10" s="6" t="s">
        <v>143</v>
      </c>
      <c r="B10" s="6"/>
      <c r="C10" s="6"/>
      <c r="D10" s="6"/>
    </row>
    <row r="11" customFormat="false" ht="15" hidden="false" customHeight="true" outlineLevel="0" collapsed="false">
      <c r="A11" s="1" t="s">
        <v>7</v>
      </c>
      <c r="B11" s="1" t="s">
        <v>144</v>
      </c>
      <c r="C11" s="1" t="s">
        <v>9</v>
      </c>
      <c r="D11" s="1" t="s">
        <v>47</v>
      </c>
    </row>
    <row r="12" customFormat="false" ht="15" hidden="false" customHeight="true" outlineLevel="0" collapsed="false">
      <c r="A12" s="1" t="s">
        <v>145</v>
      </c>
      <c r="B12" s="8" t="n">
        <f aca="false">'Revenue Model'!B13</f>
        <v>0</v>
      </c>
      <c r="C12" s="1" t="s">
        <v>146</v>
      </c>
    </row>
    <row r="13" customFormat="false" ht="15" hidden="false" customHeight="true" outlineLevel="0" collapsed="false">
      <c r="A13" s="1" t="s">
        <v>55</v>
      </c>
      <c r="B13" s="9" t="n">
        <f aca="false">Assumptions!B19</f>
        <v>0.05</v>
      </c>
      <c r="C13" s="1" t="s">
        <v>147</v>
      </c>
    </row>
    <row r="14" customFormat="false" ht="15" hidden="false" customHeight="true" outlineLevel="0" collapsed="false">
      <c r="A14" s="1" t="s">
        <v>148</v>
      </c>
      <c r="B14" s="19" t="n">
        <f aca="false">1/Assumptions!B19</f>
        <v>20</v>
      </c>
      <c r="C14" s="1" t="s">
        <v>149</v>
      </c>
    </row>
    <row r="15" customFormat="false" ht="15" hidden="false" customHeight="true" outlineLevel="0" collapsed="false">
      <c r="A15" s="1" t="s">
        <v>150</v>
      </c>
      <c r="B15" s="21" t="n">
        <f aca="false">('Revenue Model'!B13)/Assumptions!B19</f>
        <v>0</v>
      </c>
      <c r="C15" s="1" t="s">
        <v>151</v>
      </c>
    </row>
    <row r="17" customFormat="false" ht="15" hidden="false" customHeight="true" outlineLevel="0" collapsed="false">
      <c r="A17" s="6" t="s">
        <v>152</v>
      </c>
      <c r="B17" s="6"/>
      <c r="C17" s="6"/>
      <c r="D17" s="6"/>
    </row>
    <row r="18" customFormat="false" ht="15" hidden="false" customHeight="true" outlineLevel="0" collapsed="false">
      <c r="A18" s="1" t="s">
        <v>153</v>
      </c>
      <c r="B18" s="8" t="n">
        <f aca="false">B15</f>
        <v>0</v>
      </c>
    </row>
    <row r="19" customFormat="false" ht="15" hidden="false" customHeight="true" outlineLevel="0" collapsed="false">
      <c r="A19" s="1" t="s">
        <v>59</v>
      </c>
      <c r="B19" s="8" t="n">
        <f aca="false">B8</f>
        <v>15000</v>
      </c>
    </row>
    <row r="20" customFormat="false" ht="15" hidden="false" customHeight="true" outlineLevel="0" collapsed="false">
      <c r="A20" s="1" t="s">
        <v>16</v>
      </c>
      <c r="B20" s="22" t="n">
        <f aca="false">IFERROR(B18/(B19+0.0001),0)</f>
        <v>0</v>
      </c>
      <c r="C20" s="1" t="s">
        <v>154</v>
      </c>
    </row>
    <row r="22" customFormat="false" ht="15" hidden="false" customHeight="true" outlineLevel="0" collapsed="false">
      <c r="A22" s="1" t="s">
        <v>155</v>
      </c>
      <c r="B22" s="19" t="n">
        <f aca="false">B19/(B12*Assumptions!B28+0.0001)</f>
        <v>150000000</v>
      </c>
      <c r="C22" s="1" t="s">
        <v>156</v>
      </c>
    </row>
    <row r="24" customFormat="false" ht="15" hidden="false" customHeight="true" outlineLevel="0" collapsed="false">
      <c r="A24" s="1" t="s">
        <v>157</v>
      </c>
      <c r="B24" s="8" t="n">
        <f aca="false">B12*Assumptions!B28</f>
        <v>0</v>
      </c>
      <c r="C24" s="1" t="s">
        <v>158</v>
      </c>
    </row>
  </sheetData>
  <mergeCells count="4">
    <mergeCell ref="A1:D1"/>
    <mergeCell ref="A3:D3"/>
    <mergeCell ref="A10:D10"/>
    <mergeCell ref="A17:D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2026-03-12T22:33:43Z</dcterms:created>
  <dc:creator>openpyxl</dc:creator>
  <dc:description/>
  <dc:language>en-US</dc:language>
  <cp:lastModifiedBy/>
  <dcterms:modified xsi:type="dcterms:W3CDTF">2026-03-12T22:34:07Z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